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Owner\Documents\Pierre\Shive Supply Chain Solutions LLC\Updates\Blogs\"/>
    </mc:Choice>
  </mc:AlternateContent>
  <xr:revisionPtr revIDLastSave="0" documentId="13_ncr:1_{0948B286-8965-48D3-98CC-3A29AD99CB52}" xr6:coauthVersionLast="45" xr6:coauthVersionMax="45" xr10:uidLastSave="{00000000-0000-0000-0000-000000000000}"/>
  <bookViews>
    <workbookView xWindow="-120" yWindow="-120" windowWidth="20730" windowHeight="11160" xr2:uid="{136DDE36-F71A-497C-931F-093A03D14B15}"/>
  </bookViews>
  <sheets>
    <sheet name="MTO v MTS analysis" sheetId="1" r:id="rId1"/>
    <sheet name="Instructions" sheetId="8" r:id="rId2"/>
    <sheet name="Flowchart" sheetId="6" r:id="rId3"/>
    <sheet name="References" sheetId="7" r:id="rId4"/>
  </sheets>
  <definedNames>
    <definedName name="_xlnm._FilterDatabase" localSheetId="1" hidden="1">Instructions!$A$1:$D$50</definedName>
    <definedName name="_xlnm._FilterDatabase" localSheetId="0" hidden="1">'MTO v MTS analysis'!$A$2:$AW$33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N3" i="1" s="1"/>
  <c r="R3" i="1"/>
  <c r="AC3" i="1" s="1"/>
  <c r="Z3" i="1"/>
  <c r="AA3" i="1" s="1"/>
  <c r="AK3" i="1" s="1"/>
  <c r="AF3" i="1" l="1"/>
  <c r="AH3" i="1" s="1"/>
  <c r="AL3" i="1" s="1"/>
  <c r="AE3" i="1"/>
  <c r="AG3" i="1" s="1"/>
  <c r="AD3" i="1"/>
  <c r="AV3" i="1" s="1"/>
  <c r="AO3" i="1"/>
  <c r="AN3" i="1"/>
  <c r="AR3" i="1" l="1"/>
  <c r="AI3" i="1"/>
  <c r="AJ3" i="1" s="1"/>
  <c r="AM3" i="1" s="1"/>
  <c r="AP3" i="1"/>
  <c r="AQ3" i="1" l="1"/>
  <c r="AS3" i="1" s="1"/>
  <c r="R25" i="1"/>
  <c r="R26" i="1"/>
  <c r="R27" i="1"/>
  <c r="AO27" i="1" s="1"/>
  <c r="R28" i="1"/>
  <c r="R29" i="1"/>
  <c r="R30" i="1"/>
  <c r="R31" i="1"/>
  <c r="AO31" i="1" s="1"/>
  <c r="R32" i="1"/>
  <c r="AO32" i="1" s="1"/>
  <c r="R33" i="1"/>
  <c r="R24" i="1"/>
  <c r="AO24" i="1" s="1"/>
  <c r="Z33" i="1"/>
  <c r="AA33" i="1" s="1"/>
  <c r="AK33" i="1" s="1"/>
  <c r="Z32" i="1"/>
  <c r="AA32" i="1" s="1"/>
  <c r="AK32" i="1" s="1"/>
  <c r="Z31" i="1"/>
  <c r="AA31" i="1" s="1"/>
  <c r="AK31" i="1" s="1"/>
  <c r="Z30" i="1"/>
  <c r="AA30" i="1" s="1"/>
  <c r="AK30" i="1" s="1"/>
  <c r="Z29" i="1"/>
  <c r="AA29" i="1" s="1"/>
  <c r="AK29" i="1" s="1"/>
  <c r="Z28" i="1"/>
  <c r="AA28" i="1" s="1"/>
  <c r="AK28" i="1" s="1"/>
  <c r="Z27" i="1"/>
  <c r="AA27" i="1" s="1"/>
  <c r="AK27" i="1" s="1"/>
  <c r="Z26" i="1"/>
  <c r="AA26" i="1" s="1"/>
  <c r="AK26" i="1" s="1"/>
  <c r="Z25" i="1"/>
  <c r="AA25" i="1" s="1"/>
  <c r="AK25" i="1" s="1"/>
  <c r="Z24" i="1"/>
  <c r="AA24" i="1" s="1"/>
  <c r="AK24" i="1" s="1"/>
  <c r="M23" i="1"/>
  <c r="N23" i="1" s="1"/>
  <c r="M22" i="1"/>
  <c r="N22" i="1" s="1"/>
  <c r="M21" i="1"/>
  <c r="N21" i="1" s="1"/>
  <c r="M20" i="1"/>
  <c r="N20" i="1" s="1"/>
  <c r="M19" i="1"/>
  <c r="N19" i="1" s="1"/>
  <c r="M18" i="1"/>
  <c r="N18" i="1" s="1"/>
  <c r="M17" i="1"/>
  <c r="N17" i="1" s="1"/>
  <c r="M16" i="1"/>
  <c r="N16" i="1" s="1"/>
  <c r="Z14" i="1"/>
  <c r="AA14" i="1" s="1"/>
  <c r="AK14" i="1" s="1"/>
  <c r="Z13" i="1"/>
  <c r="AA13" i="1" s="1"/>
  <c r="AK13" i="1" s="1"/>
  <c r="Z12" i="1"/>
  <c r="AA12" i="1" s="1"/>
  <c r="AK12" i="1" s="1"/>
  <c r="Z11" i="1"/>
  <c r="AA11" i="1" s="1"/>
  <c r="AK11" i="1" s="1"/>
  <c r="Z10" i="1"/>
  <c r="AA10" i="1" s="1"/>
  <c r="AK10" i="1" s="1"/>
  <c r="Z9" i="1"/>
  <c r="AA9" i="1" s="1"/>
  <c r="AK9" i="1" s="1"/>
  <c r="Z8" i="1"/>
  <c r="AA8" i="1" s="1"/>
  <c r="AK8" i="1" s="1"/>
  <c r="Z7" i="1"/>
  <c r="AA7" i="1" s="1"/>
  <c r="AK7" i="1" s="1"/>
  <c r="Z6" i="1"/>
  <c r="AA6" i="1" s="1"/>
  <c r="AK6" i="1" s="1"/>
  <c r="Z5" i="1"/>
  <c r="AA5" i="1" s="1"/>
  <c r="AK5" i="1" s="1"/>
  <c r="Z4" i="1"/>
  <c r="AA4" i="1" s="1"/>
  <c r="AK4" i="1" s="1"/>
  <c r="R23" i="1"/>
  <c r="AC23" i="1" s="1"/>
  <c r="R22" i="1"/>
  <c r="AC22" i="1" s="1"/>
  <c r="R21" i="1"/>
  <c r="AC21" i="1" s="1"/>
  <c r="R20" i="1"/>
  <c r="AC20" i="1" s="1"/>
  <c r="R19" i="1"/>
  <c r="R18" i="1"/>
  <c r="AC18" i="1" s="1"/>
  <c r="R17" i="1"/>
  <c r="AC17" i="1" s="1"/>
  <c r="R16" i="1"/>
  <c r="AC16" i="1" s="1"/>
  <c r="Z23" i="1"/>
  <c r="AA23" i="1" s="1"/>
  <c r="AK23" i="1" s="1"/>
  <c r="Z22" i="1"/>
  <c r="AA22" i="1" s="1"/>
  <c r="AK22" i="1" s="1"/>
  <c r="Z21" i="1"/>
  <c r="AA21" i="1" s="1"/>
  <c r="AK21" i="1" s="1"/>
  <c r="Z20" i="1"/>
  <c r="AA20" i="1" s="1"/>
  <c r="AK20" i="1" s="1"/>
  <c r="Z19" i="1"/>
  <c r="AA19" i="1" s="1"/>
  <c r="AK19" i="1" s="1"/>
  <c r="Z18" i="1"/>
  <c r="AA18" i="1" s="1"/>
  <c r="AK18" i="1" s="1"/>
  <c r="Z17" i="1"/>
  <c r="AA17" i="1" s="1"/>
  <c r="AK17" i="1" s="1"/>
  <c r="Z16" i="1"/>
  <c r="AA16" i="1" s="1"/>
  <c r="AK16" i="1" s="1"/>
  <c r="Z15" i="1"/>
  <c r="AA15" i="1" s="1"/>
  <c r="AK15" i="1" s="1"/>
  <c r="R15" i="1"/>
  <c r="AO15" i="1" s="1"/>
  <c r="AT3" i="1" l="1"/>
  <c r="AU3" i="1" s="1"/>
  <c r="AW3" i="1" s="1"/>
  <c r="AN26" i="1"/>
  <c r="AN30" i="1"/>
  <c r="AC28" i="1"/>
  <c r="AD28" i="1" s="1"/>
  <c r="AO28" i="1"/>
  <c r="AN16" i="1"/>
  <c r="AN18" i="1"/>
  <c r="AN20" i="1"/>
  <c r="AN22" i="1"/>
  <c r="AO17" i="1"/>
  <c r="AO21" i="1"/>
  <c r="AN27" i="1"/>
  <c r="AN31" i="1"/>
  <c r="AO16" i="1"/>
  <c r="AO20" i="1"/>
  <c r="AO18" i="1"/>
  <c r="AO22" i="1"/>
  <c r="AC30" i="1"/>
  <c r="AD30" i="1" s="1"/>
  <c r="AO30" i="1"/>
  <c r="AP30" i="1" s="1"/>
  <c r="AQ30" i="1" s="1"/>
  <c r="AC26" i="1"/>
  <c r="AD26" i="1" s="1"/>
  <c r="AO26" i="1"/>
  <c r="AN24" i="1"/>
  <c r="AN28" i="1"/>
  <c r="AN32" i="1"/>
  <c r="AN15" i="1"/>
  <c r="AN17" i="1"/>
  <c r="AN19" i="1"/>
  <c r="AN21" i="1"/>
  <c r="AN23" i="1"/>
  <c r="AO19" i="1"/>
  <c r="AO23" i="1"/>
  <c r="AC33" i="1"/>
  <c r="AD33" i="1" s="1"/>
  <c r="AO33" i="1"/>
  <c r="AC29" i="1"/>
  <c r="AD29" i="1" s="1"/>
  <c r="AO29" i="1"/>
  <c r="AC25" i="1"/>
  <c r="AD25" i="1" s="1"/>
  <c r="AO25" i="1"/>
  <c r="AN25" i="1"/>
  <c r="AN29" i="1"/>
  <c r="AN33" i="1"/>
  <c r="AD21" i="1"/>
  <c r="AD16" i="1"/>
  <c r="AD20" i="1"/>
  <c r="AD23" i="1"/>
  <c r="AD18" i="1"/>
  <c r="AD17" i="1"/>
  <c r="AD22" i="1"/>
  <c r="AE15" i="1"/>
  <c r="AG15" i="1" s="1"/>
  <c r="M27" i="1"/>
  <c r="N27" i="1" s="1"/>
  <c r="M25" i="1"/>
  <c r="N25" i="1" s="1"/>
  <c r="M31" i="1"/>
  <c r="N31" i="1" s="1"/>
  <c r="M29" i="1"/>
  <c r="N29" i="1" s="1"/>
  <c r="M33" i="1"/>
  <c r="N33" i="1" s="1"/>
  <c r="M26" i="1"/>
  <c r="N26" i="1" s="1"/>
  <c r="M30" i="1"/>
  <c r="N30" i="1" s="1"/>
  <c r="AE32" i="1"/>
  <c r="AG32" i="1" s="1"/>
  <c r="AE31" i="1"/>
  <c r="AG31" i="1" s="1"/>
  <c r="AE27" i="1"/>
  <c r="AG27" i="1" s="1"/>
  <c r="M32" i="1"/>
  <c r="N32" i="1" s="1"/>
  <c r="M28" i="1"/>
  <c r="N28" i="1" s="1"/>
  <c r="M24" i="1"/>
  <c r="N24" i="1" s="1"/>
  <c r="AE24" i="1"/>
  <c r="AG24" i="1" s="1"/>
  <c r="AC24" i="1"/>
  <c r="AC31" i="1"/>
  <c r="AC27" i="1"/>
  <c r="AE30" i="1"/>
  <c r="AG30" i="1" s="1"/>
  <c r="AE26" i="1"/>
  <c r="AG26" i="1" s="1"/>
  <c r="AE29" i="1"/>
  <c r="AG29" i="1" s="1"/>
  <c r="AE33" i="1"/>
  <c r="AG33" i="1" s="1"/>
  <c r="AC32" i="1"/>
  <c r="AE28" i="1"/>
  <c r="AG28" i="1" s="1"/>
  <c r="AE25" i="1"/>
  <c r="AG25" i="1" s="1"/>
  <c r="AE19" i="1"/>
  <c r="AG19" i="1" s="1"/>
  <c r="AE20" i="1"/>
  <c r="AG20" i="1" s="1"/>
  <c r="AE23" i="1"/>
  <c r="AG23" i="1" s="1"/>
  <c r="AC19" i="1"/>
  <c r="AE17" i="1"/>
  <c r="AG17" i="1" s="1"/>
  <c r="AE21" i="1"/>
  <c r="AG21" i="1" s="1"/>
  <c r="AE18" i="1"/>
  <c r="AG18" i="1" s="1"/>
  <c r="AE22" i="1"/>
  <c r="AG22" i="1" s="1"/>
  <c r="AF18" i="1"/>
  <c r="AH18" i="1" s="1"/>
  <c r="AL18" i="1" s="1"/>
  <c r="AF22" i="1"/>
  <c r="AH22" i="1" s="1"/>
  <c r="AL22" i="1" s="1"/>
  <c r="AF19" i="1"/>
  <c r="AH19" i="1" s="1"/>
  <c r="AL19" i="1" s="1"/>
  <c r="AF23" i="1"/>
  <c r="AH23" i="1" s="1"/>
  <c r="AL23" i="1" s="1"/>
  <c r="AF21" i="1"/>
  <c r="AH21" i="1" s="1"/>
  <c r="AL21" i="1" s="1"/>
  <c r="AF17" i="1"/>
  <c r="AH17" i="1" s="1"/>
  <c r="AL17" i="1" s="1"/>
  <c r="AF20" i="1"/>
  <c r="AH20" i="1" s="1"/>
  <c r="AL20" i="1" s="1"/>
  <c r="AF16" i="1"/>
  <c r="AH16" i="1" s="1"/>
  <c r="AL16" i="1" s="1"/>
  <c r="AE16" i="1"/>
  <c r="AG16" i="1" s="1"/>
  <c r="AC15" i="1"/>
  <c r="M15" i="1"/>
  <c r="M14" i="1"/>
  <c r="N14" i="1" s="1"/>
  <c r="M13" i="1"/>
  <c r="N13" i="1" s="1"/>
  <c r="M12" i="1"/>
  <c r="N12" i="1" s="1"/>
  <c r="M11" i="1"/>
  <c r="N11" i="1" s="1"/>
  <c r="M10" i="1"/>
  <c r="N10" i="1" s="1"/>
  <c r="M9" i="1"/>
  <c r="N9" i="1" s="1"/>
  <c r="M8" i="1"/>
  <c r="M7" i="1"/>
  <c r="M6" i="1"/>
  <c r="N6" i="1" s="1"/>
  <c r="M5" i="1"/>
  <c r="N5" i="1" s="1"/>
  <c r="M4" i="1"/>
  <c r="N4" i="1" s="1"/>
  <c r="R14" i="1"/>
  <c r="R13" i="1"/>
  <c r="R12" i="1"/>
  <c r="R11" i="1"/>
  <c r="R10" i="1"/>
  <c r="R9" i="1"/>
  <c r="R8" i="1"/>
  <c r="R7" i="1"/>
  <c r="R6" i="1"/>
  <c r="R5" i="1"/>
  <c r="R4" i="1"/>
  <c r="AP26" i="1" l="1"/>
  <c r="AQ26" i="1" s="1"/>
  <c r="AR16" i="1"/>
  <c r="AC10" i="1"/>
  <c r="AD10" i="1" s="1"/>
  <c r="AN10" i="1"/>
  <c r="AO10" i="1"/>
  <c r="AP29" i="1"/>
  <c r="AQ29" i="1" s="1"/>
  <c r="AP19" i="1"/>
  <c r="AQ19" i="1" s="1"/>
  <c r="AP31" i="1"/>
  <c r="AQ31" i="1" s="1"/>
  <c r="AO7" i="1"/>
  <c r="AN7" i="1"/>
  <c r="AC11" i="1"/>
  <c r="AO11" i="1"/>
  <c r="AN11" i="1"/>
  <c r="AP25" i="1"/>
  <c r="AQ25" i="1" s="1"/>
  <c r="AP17" i="1"/>
  <c r="AQ17" i="1" s="1"/>
  <c r="AP24" i="1"/>
  <c r="AQ24" i="1" s="1"/>
  <c r="AP27" i="1"/>
  <c r="AQ27" i="1" s="1"/>
  <c r="AP20" i="1"/>
  <c r="AQ20" i="1" s="1"/>
  <c r="AP22" i="1"/>
  <c r="AQ22" i="1" s="1"/>
  <c r="AN4" i="1"/>
  <c r="AO4" i="1"/>
  <c r="AC8" i="1"/>
  <c r="AN8" i="1"/>
  <c r="AO8" i="1"/>
  <c r="AC12" i="1"/>
  <c r="AN12" i="1"/>
  <c r="AO12" i="1"/>
  <c r="AP23" i="1"/>
  <c r="AQ23" i="1" s="1"/>
  <c r="AP15" i="1"/>
  <c r="AQ15" i="1" s="1"/>
  <c r="AP18" i="1"/>
  <c r="AQ18" i="1" s="1"/>
  <c r="AN6" i="1"/>
  <c r="AO6" i="1"/>
  <c r="AC14" i="1"/>
  <c r="AD14" i="1" s="1"/>
  <c r="AN14" i="1"/>
  <c r="AO14" i="1"/>
  <c r="AP28" i="1"/>
  <c r="AQ28" i="1" s="1"/>
  <c r="AO5" i="1"/>
  <c r="AN5" i="1"/>
  <c r="AC9" i="1"/>
  <c r="AO9" i="1"/>
  <c r="AN9" i="1"/>
  <c r="AC13" i="1"/>
  <c r="AO13" i="1"/>
  <c r="AN13" i="1"/>
  <c r="AP33" i="1"/>
  <c r="AQ33" i="1" s="1"/>
  <c r="AP21" i="1"/>
  <c r="AQ21" i="1" s="1"/>
  <c r="AP32" i="1"/>
  <c r="AQ32" i="1" s="1"/>
  <c r="AP16" i="1"/>
  <c r="AQ16" i="1" s="1"/>
  <c r="AR19" i="1"/>
  <c r="AR17" i="1"/>
  <c r="AR22" i="1"/>
  <c r="AR18" i="1"/>
  <c r="AR23" i="1"/>
  <c r="AR21" i="1"/>
  <c r="AT21" i="1" s="1"/>
  <c r="AU21" i="1" s="1"/>
  <c r="AR20" i="1"/>
  <c r="AD27" i="1"/>
  <c r="AD31" i="1"/>
  <c r="AD24" i="1"/>
  <c r="AD19" i="1"/>
  <c r="AD15" i="1"/>
  <c r="AD32" i="1"/>
  <c r="AF25" i="1"/>
  <c r="AH25" i="1" s="1"/>
  <c r="AL25" i="1" s="1"/>
  <c r="AF27" i="1"/>
  <c r="AH27" i="1" s="1"/>
  <c r="AL27" i="1" s="1"/>
  <c r="AF28" i="1"/>
  <c r="AH28" i="1" s="1"/>
  <c r="AL28" i="1" s="1"/>
  <c r="AF29" i="1"/>
  <c r="AH29" i="1" s="1"/>
  <c r="AL29" i="1" s="1"/>
  <c r="AF26" i="1"/>
  <c r="AH26" i="1" s="1"/>
  <c r="AL26" i="1" s="1"/>
  <c r="AF32" i="1"/>
  <c r="AH32" i="1" s="1"/>
  <c r="AL32" i="1" s="1"/>
  <c r="AF31" i="1"/>
  <c r="AH31" i="1" s="1"/>
  <c r="AL31" i="1" s="1"/>
  <c r="AF33" i="1"/>
  <c r="AH33" i="1" s="1"/>
  <c r="AL33" i="1" s="1"/>
  <c r="AF30" i="1"/>
  <c r="AH30" i="1" s="1"/>
  <c r="AL30" i="1" s="1"/>
  <c r="AF24" i="1"/>
  <c r="AH24" i="1" s="1"/>
  <c r="AL24" i="1" s="1"/>
  <c r="AC4" i="1"/>
  <c r="AI21" i="1"/>
  <c r="AJ21" i="1" s="1"/>
  <c r="AI16" i="1"/>
  <c r="AJ16" i="1" s="1"/>
  <c r="AI23" i="1"/>
  <c r="AJ23" i="1" s="1"/>
  <c r="AI19" i="1"/>
  <c r="AJ19" i="1" s="1"/>
  <c r="AI18" i="1"/>
  <c r="AJ18" i="1" s="1"/>
  <c r="AI17" i="1"/>
  <c r="AJ17" i="1" s="1"/>
  <c r="AI20" i="1"/>
  <c r="AJ20" i="1" s="1"/>
  <c r="AI22" i="1"/>
  <c r="AJ22" i="1" s="1"/>
  <c r="AE5" i="1"/>
  <c r="AG5" i="1" s="1"/>
  <c r="AC5" i="1"/>
  <c r="AE6" i="1"/>
  <c r="AG6" i="1" s="1"/>
  <c r="AC6" i="1"/>
  <c r="AE7" i="1"/>
  <c r="AG7" i="1" s="1"/>
  <c r="AC7" i="1"/>
  <c r="AF7" i="1"/>
  <c r="AH7" i="1" s="1"/>
  <c r="AL7" i="1" s="1"/>
  <c r="N7" i="1"/>
  <c r="AF8" i="1"/>
  <c r="AH8" i="1" s="1"/>
  <c r="AL8" i="1" s="1"/>
  <c r="N8" i="1"/>
  <c r="AF15" i="1"/>
  <c r="AH15" i="1" s="1"/>
  <c r="AL15" i="1" s="1"/>
  <c r="N15" i="1"/>
  <c r="AF11" i="1"/>
  <c r="AH11" i="1" s="1"/>
  <c r="AL11" i="1" s="1"/>
  <c r="AF4" i="1"/>
  <c r="AH4" i="1" s="1"/>
  <c r="AL4" i="1" s="1"/>
  <c r="AF12" i="1"/>
  <c r="AH12" i="1" s="1"/>
  <c r="AL12" i="1" s="1"/>
  <c r="AF5" i="1"/>
  <c r="AH5" i="1" s="1"/>
  <c r="AL5" i="1" s="1"/>
  <c r="AF9" i="1"/>
  <c r="AH9" i="1" s="1"/>
  <c r="AL9" i="1" s="1"/>
  <c r="AF13" i="1"/>
  <c r="AH13" i="1" s="1"/>
  <c r="AL13" i="1" s="1"/>
  <c r="AF6" i="1"/>
  <c r="AH6" i="1" s="1"/>
  <c r="AL6" i="1" s="1"/>
  <c r="AF10" i="1"/>
  <c r="AH10" i="1" s="1"/>
  <c r="AL10" i="1" s="1"/>
  <c r="AF14" i="1"/>
  <c r="AH14" i="1" s="1"/>
  <c r="AL14" i="1" s="1"/>
  <c r="AE11" i="1"/>
  <c r="AG11" i="1" s="1"/>
  <c r="AE8" i="1"/>
  <c r="AG8" i="1" s="1"/>
  <c r="AE12" i="1"/>
  <c r="AG12" i="1" s="1"/>
  <c r="AE9" i="1"/>
  <c r="AG9" i="1" s="1"/>
  <c r="AE13" i="1"/>
  <c r="AG13" i="1" s="1"/>
  <c r="AR13" i="1" s="1"/>
  <c r="AE10" i="1"/>
  <c r="AG10" i="1" s="1"/>
  <c r="AE14" i="1"/>
  <c r="AG14" i="1" s="1"/>
  <c r="AE4" i="1"/>
  <c r="AG4" i="1" s="1"/>
  <c r="AD12" i="1" l="1"/>
  <c r="AD13" i="1"/>
  <c r="AD8" i="1"/>
  <c r="AR9" i="1"/>
  <c r="AD9" i="1"/>
  <c r="AD11" i="1"/>
  <c r="AT17" i="1"/>
  <c r="AU17" i="1" s="1"/>
  <c r="AT19" i="1"/>
  <c r="AU19" i="1" s="1"/>
  <c r="AT20" i="1"/>
  <c r="AU20" i="1" s="1"/>
  <c r="AT18" i="1"/>
  <c r="AU18" i="1" s="1"/>
  <c r="AT23" i="1"/>
  <c r="AU23" i="1" s="1"/>
  <c r="AT22" i="1"/>
  <c r="AU22" i="1" s="1"/>
  <c r="AT16" i="1"/>
  <c r="AU16" i="1" s="1"/>
  <c r="AR11" i="1"/>
  <c r="AR7" i="1"/>
  <c r="AR10" i="1"/>
  <c r="AR8" i="1"/>
  <c r="AR5" i="1"/>
  <c r="AS18" i="1"/>
  <c r="AR4" i="1"/>
  <c r="AR6" i="1"/>
  <c r="AS16" i="1"/>
  <c r="AR14" i="1"/>
  <c r="AS17" i="1"/>
  <c r="AP14" i="1"/>
  <c r="AP11" i="1"/>
  <c r="AS23" i="1"/>
  <c r="AS19" i="1"/>
  <c r="AP7" i="1"/>
  <c r="AQ7" i="1" s="1"/>
  <c r="AP10" i="1"/>
  <c r="AP6" i="1"/>
  <c r="AS20" i="1"/>
  <c r="AP9" i="1"/>
  <c r="AP5" i="1"/>
  <c r="AQ5" i="1" s="1"/>
  <c r="AP12" i="1"/>
  <c r="AQ12" i="1" s="1"/>
  <c r="AP8" i="1"/>
  <c r="AQ8" i="1" s="1"/>
  <c r="AP4" i="1"/>
  <c r="AQ4" i="1" s="1"/>
  <c r="AR12" i="1"/>
  <c r="AS21" i="1"/>
  <c r="AS22" i="1"/>
  <c r="AP13" i="1"/>
  <c r="AQ13" i="1" s="1"/>
  <c r="AR26" i="1"/>
  <c r="AI25" i="1"/>
  <c r="AJ25" i="1" s="1"/>
  <c r="AM25" i="1" s="1"/>
  <c r="AR30" i="1"/>
  <c r="AR33" i="1"/>
  <c r="AR15" i="1"/>
  <c r="AR31" i="1"/>
  <c r="AR32" i="1"/>
  <c r="AR27" i="1"/>
  <c r="AR29" i="1"/>
  <c r="AR24" i="1"/>
  <c r="AR28" i="1"/>
  <c r="AR25" i="1"/>
  <c r="AI28" i="1"/>
  <c r="AJ28" i="1" s="1"/>
  <c r="AM28" i="1" s="1"/>
  <c r="AD6" i="1"/>
  <c r="AD5" i="1"/>
  <c r="AD7" i="1"/>
  <c r="AD4" i="1"/>
  <c r="AI32" i="1"/>
  <c r="AJ32" i="1" s="1"/>
  <c r="AM32" i="1" s="1"/>
  <c r="AI27" i="1"/>
  <c r="AJ27" i="1" s="1"/>
  <c r="AM27" i="1" s="1"/>
  <c r="AI29" i="1"/>
  <c r="AJ29" i="1" s="1"/>
  <c r="AM29" i="1" s="1"/>
  <c r="AI26" i="1"/>
  <c r="AJ26" i="1" s="1"/>
  <c r="AM26" i="1" s="1"/>
  <c r="AI33" i="1"/>
  <c r="AJ33" i="1" s="1"/>
  <c r="AM33" i="1" s="1"/>
  <c r="AI30" i="1"/>
  <c r="AJ30" i="1" s="1"/>
  <c r="AM30" i="1" s="1"/>
  <c r="AI31" i="1"/>
  <c r="AJ31" i="1" s="1"/>
  <c r="AM31" i="1" s="1"/>
  <c r="AI24" i="1"/>
  <c r="AJ24" i="1" s="1"/>
  <c r="AM24" i="1" s="1"/>
  <c r="AM21" i="1"/>
  <c r="AM23" i="1"/>
  <c r="AM16" i="1"/>
  <c r="AM19" i="1"/>
  <c r="AM17" i="1"/>
  <c r="AM22" i="1"/>
  <c r="AI15" i="1"/>
  <c r="AJ15" i="1" s="1"/>
  <c r="AM20" i="1"/>
  <c r="AM18" i="1"/>
  <c r="AT4" i="1" l="1"/>
  <c r="AU4" i="1" s="1"/>
  <c r="AT7" i="1"/>
  <c r="AU7" i="1" s="1"/>
  <c r="AS28" i="1"/>
  <c r="AT28" i="1"/>
  <c r="AU28" i="1" s="1"/>
  <c r="AS32" i="1"/>
  <c r="AT32" i="1"/>
  <c r="AU32" i="1" s="1"/>
  <c r="AS30" i="1"/>
  <c r="AT30" i="1"/>
  <c r="AU30" i="1" s="1"/>
  <c r="AS25" i="1"/>
  <c r="AT25" i="1"/>
  <c r="AU25" i="1" s="1"/>
  <c r="AS27" i="1"/>
  <c r="AT27" i="1"/>
  <c r="AU27" i="1" s="1"/>
  <c r="AS33" i="1"/>
  <c r="AT33" i="1"/>
  <c r="AU33" i="1" s="1"/>
  <c r="AT8" i="1"/>
  <c r="AU8" i="1" s="1"/>
  <c r="AT13" i="1"/>
  <c r="AU13" i="1" s="1"/>
  <c r="AS24" i="1"/>
  <c r="AT24" i="1"/>
  <c r="AU24" i="1" s="1"/>
  <c r="AS31" i="1"/>
  <c r="AT31" i="1"/>
  <c r="AU31" i="1" s="1"/>
  <c r="AS29" i="1"/>
  <c r="AT29" i="1"/>
  <c r="AU29" i="1" s="1"/>
  <c r="AS15" i="1"/>
  <c r="AT15" i="1"/>
  <c r="AU15" i="1" s="1"/>
  <c r="AS26" i="1"/>
  <c r="AT26" i="1"/>
  <c r="AU26" i="1" s="1"/>
  <c r="AT12" i="1"/>
  <c r="AU12" i="1" s="1"/>
  <c r="AT5" i="1"/>
  <c r="AU5" i="1" s="1"/>
  <c r="AV28" i="1"/>
  <c r="AS5" i="1"/>
  <c r="AS4" i="1"/>
  <c r="AS8" i="1"/>
  <c r="AQ10" i="1"/>
  <c r="AS10" i="1" s="1"/>
  <c r="AQ9" i="1"/>
  <c r="AS9" i="1" s="1"/>
  <c r="AQ11" i="1"/>
  <c r="AS11" i="1" s="1"/>
  <c r="AQ14" i="1"/>
  <c r="AS14" i="1" s="1"/>
  <c r="AV25" i="1"/>
  <c r="AS7" i="1"/>
  <c r="AS13" i="1"/>
  <c r="AS12" i="1"/>
  <c r="AQ6" i="1"/>
  <c r="AS6" i="1" s="1"/>
  <c r="AV17" i="1"/>
  <c r="AW17" i="1" s="1"/>
  <c r="AV21" i="1"/>
  <c r="AW21" i="1" s="1"/>
  <c r="AV30" i="1"/>
  <c r="AV19" i="1"/>
  <c r="AW19" i="1" s="1"/>
  <c r="AV33" i="1"/>
  <c r="AW33" i="1" s="1"/>
  <c r="AV22" i="1"/>
  <c r="AW22" i="1" s="1"/>
  <c r="AV16" i="1"/>
  <c r="AW16" i="1" s="1"/>
  <c r="AV27" i="1"/>
  <c r="AV26" i="1"/>
  <c r="AV20" i="1"/>
  <c r="AW20" i="1" s="1"/>
  <c r="AV24" i="1"/>
  <c r="AW24" i="1" s="1"/>
  <c r="AV32" i="1"/>
  <c r="AV18" i="1"/>
  <c r="AW18" i="1" s="1"/>
  <c r="AV23" i="1"/>
  <c r="AW23" i="1" s="1"/>
  <c r="AV31" i="1"/>
  <c r="AW31" i="1" s="1"/>
  <c r="AV29" i="1"/>
  <c r="AM15" i="1"/>
  <c r="AW29" i="1" l="1"/>
  <c r="AW32" i="1"/>
  <c r="AW27" i="1"/>
  <c r="AW25" i="1"/>
  <c r="AW28" i="1"/>
  <c r="AW30" i="1"/>
  <c r="AW26" i="1"/>
  <c r="AT11" i="1"/>
  <c r="AU11" i="1" s="1"/>
  <c r="AT14" i="1"/>
  <c r="AU14" i="1" s="1"/>
  <c r="AT6" i="1"/>
  <c r="AU6" i="1" s="1"/>
  <c r="AT10" i="1"/>
  <c r="AU10" i="1" s="1"/>
  <c r="AT9" i="1"/>
  <c r="AU9" i="1" s="1"/>
  <c r="AV15" i="1"/>
  <c r="AW15" i="1" s="1"/>
  <c r="AI4" i="1" l="1"/>
  <c r="AJ4" i="1" s="1"/>
  <c r="AM4" i="1" s="1"/>
  <c r="AI5" i="1"/>
  <c r="AJ5" i="1" s="1"/>
  <c r="AM5" i="1" s="1"/>
  <c r="AI6" i="1"/>
  <c r="AJ6" i="1" s="1"/>
  <c r="AM6" i="1" s="1"/>
  <c r="AI7" i="1"/>
  <c r="AJ7" i="1" s="1"/>
  <c r="AM7" i="1" s="1"/>
  <c r="AI8" i="1"/>
  <c r="AJ8" i="1" s="1"/>
  <c r="AM8" i="1" s="1"/>
  <c r="AI9" i="1"/>
  <c r="AJ9" i="1" s="1"/>
  <c r="AM9" i="1" s="1"/>
  <c r="AI10" i="1"/>
  <c r="AJ10" i="1" s="1"/>
  <c r="AM10" i="1" s="1"/>
  <c r="AI11" i="1"/>
  <c r="AJ11" i="1" s="1"/>
  <c r="AM11" i="1" s="1"/>
  <c r="AI12" i="1"/>
  <c r="AJ12" i="1" s="1"/>
  <c r="AM12" i="1" s="1"/>
  <c r="AI13" i="1"/>
  <c r="AJ13" i="1" s="1"/>
  <c r="AM13" i="1" s="1"/>
  <c r="AI14" i="1"/>
  <c r="AJ14" i="1" s="1"/>
  <c r="AM14" i="1" s="1"/>
  <c r="AV5" i="1" l="1"/>
  <c r="AW5" i="1" s="1"/>
  <c r="AV7" i="1"/>
  <c r="AW7" i="1" s="1"/>
  <c r="AV6" i="1"/>
  <c r="AW6" i="1" s="1"/>
  <c r="AV14" i="1"/>
  <c r="AW14" i="1" s="1"/>
  <c r="AV4" i="1" l="1"/>
  <c r="AW4" i="1" s="1"/>
  <c r="AV10" i="1"/>
  <c r="AW10" i="1" s="1"/>
  <c r="AV12" i="1"/>
  <c r="AW12" i="1" s="1"/>
  <c r="AV8" i="1"/>
  <c r="AW8" i="1" s="1"/>
  <c r="AV11" i="1" l="1"/>
  <c r="AW11" i="1" s="1"/>
  <c r="AV13" i="1"/>
  <c r="AW13" i="1" s="1"/>
  <c r="AV9" i="1"/>
  <c r="AW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2" authorId="0" shapeId="0" xr:uid="{593D8A80-7C43-492A-9733-4473747ED951}">
      <text>
        <r>
          <rPr>
            <b/>
            <sz val="9"/>
            <color indexed="81"/>
            <rFont val="Tahoma"/>
            <family val="2"/>
          </rPr>
          <t xml:space="preserve">Owner: </t>
        </r>
        <r>
          <rPr>
            <sz val="9"/>
            <color indexed="81"/>
            <rFont val="Tahoma"/>
            <family val="2"/>
          </rPr>
          <t>Shelf life minus amount of shelf life remaining at time of shipment to meet custoemr requirements).</t>
        </r>
      </text>
    </comment>
    <comment ref="I2" authorId="0" shapeId="0" xr:uid="{610EAAB3-209C-4DF9-8469-78F7467DDEBC}">
      <text>
        <r>
          <rPr>
            <b/>
            <sz val="9"/>
            <color indexed="81"/>
            <rFont val="Tahoma"/>
            <family val="2"/>
          </rPr>
          <t xml:space="preserve">Owner: </t>
        </r>
        <r>
          <rPr>
            <sz val="9"/>
            <color indexed="81"/>
            <rFont val="Tahoma"/>
            <family val="2"/>
          </rPr>
          <t>Consider startup scrap as well as labor and fixed overhead for duration of setup time.  If line capacity is constrained, include fixed overhead as well.</t>
        </r>
      </text>
    </comment>
    <comment ref="J2" authorId="0" shapeId="0" xr:uid="{6FC39184-1B53-412B-BA8F-F3565984479E}">
      <text>
        <r>
          <rPr>
            <b/>
            <sz val="9"/>
            <color indexed="81"/>
            <rFont val="Tahoma"/>
            <family val="2"/>
          </rPr>
          <t xml:space="preserve">Owner: </t>
        </r>
        <r>
          <rPr>
            <sz val="9"/>
            <color indexed="81"/>
            <rFont val="Tahoma"/>
            <family val="2"/>
          </rPr>
          <t>Include only variable costs incurred as inventory increases. Do not include fixed costs.</t>
        </r>
      </text>
    </comment>
    <comment ref="O2" authorId="0" shapeId="0" xr:uid="{93797D19-E9B9-4F83-A80C-C206986ACFBC}">
      <text>
        <r>
          <rPr>
            <b/>
            <sz val="9"/>
            <color indexed="81"/>
            <rFont val="Tahoma"/>
            <family val="2"/>
          </rPr>
          <t xml:space="preserve">Owner: </t>
        </r>
        <r>
          <rPr>
            <sz val="9"/>
            <color indexed="81"/>
            <rFont val="Tahoma"/>
            <family val="2"/>
          </rPr>
          <t>how many days into future is production schedule locked for changes?</t>
        </r>
      </text>
    </comment>
    <comment ref="P2" authorId="0" shapeId="0" xr:uid="{8D86F87A-6568-4CD1-8CF7-7DB9C6293E2F}">
      <text>
        <r>
          <rPr>
            <b/>
            <sz val="9"/>
            <color indexed="81"/>
            <rFont val="Tahoma"/>
            <family val="2"/>
          </rPr>
          <t xml:space="preserve">Owner: </t>
        </r>
        <r>
          <rPr>
            <sz val="9"/>
            <color indexed="81"/>
            <rFont val="Tahoma"/>
            <family val="2"/>
          </rPr>
          <t>how frequenntly is this item or formula scheduled for production?</t>
        </r>
      </text>
    </comment>
    <comment ref="Q2" authorId="0" shapeId="0" xr:uid="{CBD67192-ECEF-4EFE-94A0-8F843433DAE6}">
      <text>
        <r>
          <rPr>
            <b/>
            <sz val="9"/>
            <color indexed="81"/>
            <rFont val="Tahoma"/>
            <family val="2"/>
          </rPr>
          <t xml:space="preserve">Owner: </t>
        </r>
        <r>
          <rPr>
            <sz val="9"/>
            <color indexed="81"/>
            <rFont val="Tahoma"/>
            <family val="2"/>
          </rPr>
          <t>How many days after production is complete before item is avaiable to ship.  May include handling time and/or time for quality tests.</t>
        </r>
      </text>
    </comment>
    <comment ref="S2" authorId="0" shapeId="0" xr:uid="{0193C6D7-0D28-45B4-8913-88ACD9ED86E6}">
      <text>
        <r>
          <rPr>
            <b/>
            <sz val="9"/>
            <color indexed="81"/>
            <rFont val="Tahoma"/>
            <family val="2"/>
          </rPr>
          <t xml:space="preserve">Owner: </t>
        </r>
        <r>
          <rPr>
            <sz val="9"/>
            <color indexed="81"/>
            <rFont val="Tahoma"/>
            <family val="2"/>
          </rPr>
          <t>Enter zero (0) if Performance Cycle is very stable and predictible.  If standard deviation is not available from historical data, enter maximum minus average divided by 3 as an estimate.</t>
        </r>
      </text>
    </comment>
    <comment ref="T2" authorId="0" shapeId="0" xr:uid="{20EA5831-AB2C-4EA9-B85B-153494720B0A}">
      <text>
        <r>
          <rPr>
            <b/>
            <sz val="9"/>
            <color indexed="81"/>
            <rFont val="Tahoma"/>
            <family val="2"/>
          </rPr>
          <t xml:space="preserve">Owner: </t>
        </r>
        <r>
          <rPr>
            <sz val="9"/>
            <color indexed="81"/>
            <rFont val="Tahoma"/>
            <family val="2"/>
          </rPr>
          <t xml:space="preserve">consider backorder costs incurred for stockouts when setting this value.
</t>
        </r>
      </text>
    </comment>
    <comment ref="U2" authorId="0" shapeId="0" xr:uid="{4BA10EAA-B90A-42DD-866E-F6192AAEA965}">
      <text>
        <r>
          <rPr>
            <b/>
            <sz val="9"/>
            <color indexed="81"/>
            <rFont val="Tahoma"/>
            <family val="2"/>
          </rPr>
          <t xml:space="preserve">Owner: </t>
        </r>
        <r>
          <rPr>
            <sz val="9"/>
            <color indexed="81"/>
            <rFont val="Tahoma"/>
            <family val="2"/>
          </rPr>
          <t xml:space="preserve">what is necessary confidence level of shipping on time for MTO customer orders?
</t>
        </r>
      </text>
    </comment>
    <comment ref="V2" authorId="0" shapeId="0" xr:uid="{B4DEF2FB-EA92-4F04-AEC3-A9F218F2B267}">
      <text>
        <r>
          <rPr>
            <b/>
            <sz val="9"/>
            <color indexed="81"/>
            <rFont val="Tahoma"/>
            <family val="2"/>
          </rPr>
          <t xml:space="preserve">Owner: </t>
        </r>
        <r>
          <rPr>
            <sz val="9"/>
            <color indexed="81"/>
            <rFont val="Tahoma"/>
            <family val="2"/>
          </rPr>
          <t>what is minimum number of days that customer orders are visibile to planners before they must be available for shipment?</t>
        </r>
      </text>
    </comment>
    <comment ref="Y2" authorId="0" shapeId="0" xr:uid="{7577D918-3A18-4627-945E-96C8BB61C5F6}">
      <text>
        <r>
          <rPr>
            <b/>
            <sz val="9"/>
            <color indexed="81"/>
            <rFont val="Tahoma"/>
            <family val="2"/>
          </rPr>
          <t xml:space="preserve">Owner: </t>
        </r>
        <r>
          <rPr>
            <sz val="9"/>
            <color indexed="81"/>
            <rFont val="Tahoma"/>
            <family val="2"/>
          </rPr>
          <t>enter number of weeks with shipments greater than 0 in past 52 weeks.</t>
        </r>
      </text>
    </comment>
    <comment ref="Z2" authorId="0" shapeId="0" xr:uid="{6B8A79B2-BBCC-4276-BE1D-BE1DAB570785}">
      <text>
        <r>
          <rPr>
            <b/>
            <sz val="9"/>
            <color indexed="81"/>
            <rFont val="Tahoma"/>
            <family val="2"/>
          </rPr>
          <t xml:space="preserve">Owner: </t>
        </r>
        <r>
          <rPr>
            <sz val="9"/>
            <color indexed="81"/>
            <rFont val="Tahoma"/>
            <family val="2"/>
          </rPr>
          <t>enter number of weeks with shipments greater than 0 in past 52 weeks.</t>
        </r>
      </text>
    </comment>
    <comment ref="AA2" authorId="0" shapeId="0" xr:uid="{9F5E9F09-9E3E-407F-B71F-0B1C5886DFF4}">
      <text>
        <r>
          <rPr>
            <b/>
            <sz val="9"/>
            <color indexed="81"/>
            <rFont val="Tahoma"/>
            <family val="2"/>
          </rPr>
          <t xml:space="preserve">Owner: </t>
        </r>
        <r>
          <rPr>
            <sz val="9"/>
            <color indexed="81"/>
            <rFont val="Tahoma"/>
            <family val="2"/>
          </rPr>
          <t xml:space="preserve">Assumes order timings are independent 
</t>
        </r>
      </text>
    </comment>
    <comment ref="AB2" authorId="0" shapeId="0" xr:uid="{2B75215C-27D2-4DB7-9F74-BC5F19CB5A36}">
      <text>
        <r>
          <rPr>
            <b/>
            <sz val="9"/>
            <color indexed="81"/>
            <rFont val="Tahoma"/>
            <family val="2"/>
          </rPr>
          <t xml:space="preserve">Owner: </t>
        </r>
        <r>
          <rPr>
            <sz val="9"/>
            <color indexed="81"/>
            <rFont val="Tahoma"/>
            <family val="2"/>
          </rPr>
          <t>Is there an opportunity to a capture significant additional business by having inventory on hand?</t>
        </r>
      </text>
    </comment>
    <comment ref="AC2" authorId="0" shapeId="0" xr:uid="{B0EDE9F7-F725-4CBA-9229-C8EFA871F8C1}">
      <text>
        <r>
          <rPr>
            <b/>
            <sz val="9"/>
            <color indexed="81"/>
            <rFont val="Tahoma"/>
            <family val="2"/>
          </rPr>
          <t xml:space="preserve">Owner: </t>
        </r>
        <r>
          <rPr>
            <sz val="9"/>
            <color indexed="81"/>
            <rFont val="Tahoma"/>
            <family val="2"/>
          </rPr>
          <t>Calculated field</t>
        </r>
      </text>
    </comment>
    <comment ref="AD2" authorId="0" shapeId="0" xr:uid="{917A76D7-47BA-4ADD-AB99-5F23424721E4}">
      <text>
        <r>
          <rPr>
            <b/>
            <sz val="9"/>
            <color indexed="81"/>
            <rFont val="Tahoma"/>
            <family val="2"/>
          </rPr>
          <t xml:space="preserve">Owner: </t>
        </r>
        <r>
          <rPr>
            <sz val="9"/>
            <color indexed="81"/>
            <rFont val="Tahoma"/>
            <family val="2"/>
          </rPr>
          <t>Calculated field</t>
        </r>
      </text>
    </comment>
    <comment ref="AE2" authorId="0" shapeId="0" xr:uid="{BA6FE637-8F70-4B4F-9D37-DE46352505B6}">
      <text>
        <r>
          <rPr>
            <b/>
            <sz val="9"/>
            <color indexed="81"/>
            <rFont val="Tahoma"/>
            <family val="2"/>
          </rPr>
          <t xml:space="preserve">Owner: </t>
        </r>
        <r>
          <rPr>
            <sz val="9"/>
            <color indexed="81"/>
            <rFont val="Tahoma"/>
            <family val="2"/>
          </rPr>
          <t>assumes variability of production and demand are independent of each other.</t>
        </r>
      </text>
    </comment>
    <comment ref="AF2" authorId="0" shapeId="0" xr:uid="{99668635-7E78-4C2D-8BEA-369CB1B17EE1}">
      <text>
        <r>
          <rPr>
            <b/>
            <sz val="9"/>
            <color indexed="81"/>
            <rFont val="Tahoma"/>
            <family val="2"/>
          </rPr>
          <t>Owner:</t>
        </r>
        <r>
          <rPr>
            <sz val="9"/>
            <color indexed="81"/>
            <rFont val="Tahoma"/>
            <family val="2"/>
          </rPr>
          <t xml:space="preserve">
Does not consider increased risk of obsolescence due to demand variability. </t>
        </r>
      </text>
    </comment>
    <comment ref="AH2" authorId="0" shapeId="0" xr:uid="{41B1ED8E-E138-4787-9D70-F57ECB70AD05}">
      <text>
        <r>
          <rPr>
            <b/>
            <sz val="9"/>
            <color indexed="81"/>
            <rFont val="Tahoma"/>
            <family val="2"/>
          </rPr>
          <t>Owner:</t>
        </r>
        <r>
          <rPr>
            <sz val="9"/>
            <color indexed="81"/>
            <rFont val="Tahoma"/>
            <family val="2"/>
          </rPr>
          <t xml:space="preserve">
Does not consider increased risk of obsolescence due to demand variability. </t>
        </r>
      </text>
    </comment>
    <comment ref="AI2" authorId="0" shapeId="0" xr:uid="{7CF4026D-8AA5-412C-9509-A21BE69AD377}">
      <text>
        <r>
          <rPr>
            <b/>
            <sz val="9"/>
            <color indexed="81"/>
            <rFont val="Tahoma"/>
            <family val="2"/>
          </rPr>
          <t>Owner:</t>
        </r>
        <r>
          <rPr>
            <sz val="9"/>
            <color indexed="81"/>
            <rFont val="Tahoma"/>
            <family val="2"/>
          </rPr>
          <t xml:space="preserve">
(I = SS + ELS/2)</t>
        </r>
      </text>
    </comment>
    <comment ref="AJ2" authorId="0" shapeId="0" xr:uid="{56DDDE1C-A4D4-461C-AB97-CE94F8525AE4}">
      <text>
        <r>
          <rPr>
            <b/>
            <sz val="9"/>
            <color indexed="81"/>
            <rFont val="Tahoma"/>
            <family val="2"/>
          </rPr>
          <t>Owner:</t>
        </r>
        <r>
          <rPr>
            <sz val="9"/>
            <color indexed="81"/>
            <rFont val="Tahoma"/>
            <family val="2"/>
          </rPr>
          <t xml:space="preserve">
H = I * [storage cost/lb. + (standard cost/lb. * cost of capital) + Obsolescence risk]</t>
        </r>
      </text>
    </comment>
    <comment ref="AK2" authorId="0" shapeId="0" xr:uid="{74F763FD-295A-4F7C-9093-D5FD6DC8946E}">
      <text>
        <r>
          <rPr>
            <b/>
            <sz val="9"/>
            <color indexed="81"/>
            <rFont val="Tahoma"/>
            <family val="2"/>
          </rPr>
          <t>Owner:</t>
        </r>
        <r>
          <rPr>
            <sz val="9"/>
            <color indexed="81"/>
            <rFont val="Tahoma"/>
            <family val="2"/>
          </rPr>
          <t xml:space="preserve">
Does not consider increased risk of obsolescence due to demand variability. </t>
        </r>
      </text>
    </comment>
    <comment ref="AL2" authorId="0" shapeId="0" xr:uid="{0A1CA556-869D-45B2-B906-308104A2859A}">
      <text>
        <r>
          <rPr>
            <b/>
            <sz val="9"/>
            <color indexed="81"/>
            <rFont val="Tahoma"/>
            <family val="2"/>
          </rPr>
          <t xml:space="preserve">Owner: 
</t>
        </r>
        <r>
          <rPr>
            <sz val="9"/>
            <color indexed="81"/>
            <rFont val="Tahoma"/>
            <family val="2"/>
          </rPr>
          <t>A = S – Annual demand/ELS</t>
        </r>
      </text>
    </comment>
    <comment ref="AM2" authorId="0" shapeId="0" xr:uid="{F1730014-6EDC-4D6A-9E23-6D1C12B69709}">
      <text>
        <r>
          <rPr>
            <b/>
            <sz val="9"/>
            <color indexed="81"/>
            <rFont val="Tahoma"/>
            <family val="2"/>
          </rPr>
          <t>Owner:</t>
        </r>
        <r>
          <rPr>
            <sz val="9"/>
            <color indexed="81"/>
            <rFont val="Tahoma"/>
            <family val="2"/>
          </rPr>
          <t xml:space="preserve">
A x cost/setup - H</t>
        </r>
      </text>
    </comment>
  </commentList>
</comments>
</file>

<file path=xl/sharedStrings.xml><?xml version="1.0" encoding="utf-8"?>
<sst xmlns="http://schemas.openxmlformats.org/spreadsheetml/2006/main" count="432" uniqueCount="259">
  <si>
    <t xml:space="preserve">Item </t>
  </si>
  <si>
    <t>Description</t>
  </si>
  <si>
    <t>Opportunity for additional business by carrying inventory?</t>
  </si>
  <si>
    <t>Can production reliably deliver within customer lead-time?</t>
  </si>
  <si>
    <t>Test item 1</t>
  </si>
  <si>
    <t>Test item 2</t>
  </si>
  <si>
    <t>Test item 3</t>
  </si>
  <si>
    <t>Test item 4</t>
  </si>
  <si>
    <t>Test item 5</t>
  </si>
  <si>
    <t>Formula</t>
  </si>
  <si>
    <t>Formula A</t>
  </si>
  <si>
    <t>Formula B</t>
  </si>
  <si>
    <t>Formula C</t>
  </si>
  <si>
    <t>Demand and Service Evaluation</t>
  </si>
  <si>
    <t>Cost Analysis</t>
  </si>
  <si>
    <t>Production Line</t>
  </si>
  <si>
    <t>Line A</t>
  </si>
  <si>
    <t>Line B</t>
  </si>
  <si>
    <t>Line C</t>
  </si>
  <si>
    <t>Test item 6</t>
  </si>
  <si>
    <t>Test item 7</t>
  </si>
  <si>
    <t>Test item 8</t>
  </si>
  <si>
    <t>Test item 9</t>
  </si>
  <si>
    <t>Test item 10</t>
  </si>
  <si>
    <t>Test item 11</t>
  </si>
  <si>
    <t>Formula D</t>
  </si>
  <si>
    <t>Comment</t>
  </si>
  <si>
    <t>Test item 12</t>
  </si>
  <si>
    <t>MTS Economic Lot Size (ELS)</t>
  </si>
  <si>
    <t>Annual Holding Cost for MTS 
(H)</t>
  </si>
  <si>
    <t>Additional Annual Setups for MTO
(A)</t>
  </si>
  <si>
    <t>lb.</t>
  </si>
  <si>
    <t>Selling unit size in UOM</t>
  </si>
  <si>
    <t>Customer Order lead-time 
(days)</t>
  </si>
  <si>
    <t>Avg weekly demand (UOM)</t>
  </si>
  <si>
    <t>Standard Deviation of Weekly Demand  (UOM)</t>
  </si>
  <si>
    <t>Unit of Measure (UOM)</t>
  </si>
  <si>
    <t>Total Performance Cycle Lead-time 
(Days)</t>
  </si>
  <si>
    <t>Additional Handling Time After Production (days)</t>
  </si>
  <si>
    <t>Production Cycle 
(days)</t>
  </si>
  <si>
    <t>Production Lead-time (days)</t>
  </si>
  <si>
    <t>Standard Deviation of Performance Cycle 
(Days)</t>
  </si>
  <si>
    <t>Target Service Level Fill Rate for MTS</t>
  </si>
  <si>
    <t>Target Service Level Response Time for MTO</t>
  </si>
  <si>
    <t xml:space="preserve">MTS safety stock 
(SS) </t>
  </si>
  <si>
    <t>Production information</t>
  </si>
  <si>
    <t>Item information</t>
  </si>
  <si>
    <t>Cost information</t>
  </si>
  <si>
    <t>Demand information</t>
  </si>
  <si>
    <t>Customer information</t>
  </si>
  <si>
    <t>Historic Obsolescence % per month</t>
  </si>
  <si>
    <t>Results</t>
  </si>
  <si>
    <t>Tentative MTO/MTS Determination</t>
  </si>
  <si>
    <t>Annual Cost of Working Capital</t>
  </si>
  <si>
    <t>Shippable life 
(days)</t>
  </si>
  <si>
    <t>Storage Cost per UOM per Month</t>
  </si>
  <si>
    <t>Weekly Holding Cost per UOM</t>
  </si>
  <si>
    <t>Expected Average Inventory for MTS  
(I)</t>
  </si>
  <si>
    <t>Case</t>
  </si>
  <si>
    <t>Standard cost of item per UOM</t>
  </si>
  <si>
    <t>Average MTO Run Frequency (weeks)</t>
  </si>
  <si>
    <t># of weeks with orders</t>
  </si>
  <si>
    <t>%  of weeks with orders</t>
  </si>
  <si>
    <t>Total annual holding cost as % of Standard Cost</t>
  </si>
  <si>
    <t>Probability of an order during Production Cycle</t>
  </si>
  <si>
    <t>Line D</t>
  </si>
  <si>
    <t>First cut MTS or TBD</t>
  </si>
  <si>
    <t xml:space="preserve">Incremental Annual Cost (savings) 
for MTO 
(C) </t>
  </si>
  <si>
    <t>Average MTS Run Frequency (weeks/yr.)</t>
  </si>
  <si>
    <t>Obsolescence Check</t>
  </si>
  <si>
    <t>MTS Reorder Point (ROP)</t>
  </si>
  <si>
    <t>ROP + ELS</t>
  </si>
  <si>
    <t>Gamma Distribution Alpha</t>
  </si>
  <si>
    <t>Gamma Distribution Beta</t>
  </si>
  <si>
    <t>Average demand over ship life + Lead time</t>
  </si>
  <si>
    <t>Std Deviation over ship life + Lead time</t>
  </si>
  <si>
    <t>Probablity of Obsolescence at Traditional ELS</t>
  </si>
  <si>
    <t>Expected ObsoleteUnits at Traditional ELS</t>
  </si>
  <si>
    <t>Expected annual Obsolescence cost at Traditional ELS</t>
  </si>
  <si>
    <t>01062I</t>
  </si>
  <si>
    <t>01063B</t>
  </si>
  <si>
    <t>01066I</t>
  </si>
  <si>
    <t>01072I</t>
  </si>
  <si>
    <t>01073F</t>
  </si>
  <si>
    <t>01076F</t>
  </si>
  <si>
    <t>01106K</t>
  </si>
  <si>
    <t>01143B</t>
  </si>
  <si>
    <t>01146E</t>
  </si>
  <si>
    <t>Formula E</t>
  </si>
  <si>
    <t>Formula F</t>
  </si>
  <si>
    <t>Formula G</t>
  </si>
  <si>
    <t>Formula H</t>
  </si>
  <si>
    <t>Formula I</t>
  </si>
  <si>
    <t>Formula J</t>
  </si>
  <si>
    <t>Formula K</t>
  </si>
  <si>
    <t>Formula L</t>
  </si>
  <si>
    <t>Formula M</t>
  </si>
  <si>
    <t>Formula N</t>
  </si>
  <si>
    <t>Formula O</t>
  </si>
  <si>
    <t>01001W</t>
  </si>
  <si>
    <t>01002W</t>
  </si>
  <si>
    <t>01003A</t>
  </si>
  <si>
    <t>01004R</t>
  </si>
  <si>
    <t>01005C</t>
  </si>
  <si>
    <t>01006R</t>
  </si>
  <si>
    <t>01278R</t>
  </si>
  <si>
    <t>01392R</t>
  </si>
  <si>
    <t>12960R</t>
  </si>
  <si>
    <t>36859R</t>
  </si>
  <si>
    <t>Test item 13</t>
  </si>
  <si>
    <t>Test item 14</t>
  </si>
  <si>
    <t>Test item 15</t>
  </si>
  <si>
    <t>Test item 16</t>
  </si>
  <si>
    <t>Test item 17</t>
  </si>
  <si>
    <t>Test item 18</t>
  </si>
  <si>
    <t>Test item 19</t>
  </si>
  <si>
    <t>Test item 20</t>
  </si>
  <si>
    <t>Test item 21</t>
  </si>
  <si>
    <t>Test item 22</t>
  </si>
  <si>
    <t>Test item 23</t>
  </si>
  <si>
    <t>Test item 24</t>
  </si>
  <si>
    <t>Test item 25</t>
  </si>
  <si>
    <t>Test item 26</t>
  </si>
  <si>
    <t>Test item 27</t>
  </si>
  <si>
    <t>Test item 28</t>
  </si>
  <si>
    <t>Test item 29</t>
  </si>
  <si>
    <t>Test item 30</t>
  </si>
  <si>
    <t>Test item 31</t>
  </si>
  <si>
    <t>01001A</t>
  </si>
  <si>
    <r>
      <t>01002</t>
    </r>
    <r>
      <rPr>
        <b/>
        <sz val="11"/>
        <color theme="1"/>
        <rFont val="Calibri"/>
        <family val="2"/>
        <scheme val="minor"/>
      </rPr>
      <t>B</t>
    </r>
  </si>
  <si>
    <t>01004C</t>
  </si>
  <si>
    <t>01006D</t>
  </si>
  <si>
    <t>01278D</t>
  </si>
  <si>
    <t>01392D</t>
  </si>
  <si>
    <t>12960D</t>
  </si>
  <si>
    <t>36859D</t>
  </si>
  <si>
    <t>53459D</t>
  </si>
  <si>
    <t>59377D</t>
  </si>
  <si>
    <t xml:space="preserve">Column </t>
  </si>
  <si>
    <t>Column Header</t>
  </si>
  <si>
    <t>Value/ calculation</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</si>
  <si>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</si>
  <si>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</si>
  <si>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</si>
  <si>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</si>
  <si>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</si>
  <si>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</si>
  <si>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</si>
  <si>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</si>
  <si>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</si>
  <si>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</si>
  <si>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</si>
  <si>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</si>
  <si>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</si>
  <si>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</si>
  <si>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</si>
  <si>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</si>
  <si>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</si>
  <si>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</si>
  <si>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</si>
  <si>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</si>
  <si>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</si>
  <si>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</si>
  <si>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</si>
  <si>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</si>
  <si>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</si>
  <si>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</si>
  <si>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</si>
  <si>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</si>
  <si>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</si>
  <si>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</si>
  <si>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</si>
  <si>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</si>
  <si>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</si>
  <si>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</si>
  <si>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</si>
  <si>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</si>
  <si>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</si>
  <si>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</si>
  <si>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</si>
  <si>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</si>
  <si>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</si>
  <si>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</si>
  <si>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</si>
  <si>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</si>
  <si>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</si>
  <si>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</si>
  <si>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</si>
  <si>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</si>
  <si>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</si>
  <si>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Setup Cost to run this item per run</t>
  </si>
  <si>
    <t>Entry or calculated?</t>
  </si>
  <si>
    <t>Item number or SKU number</t>
  </si>
  <si>
    <t>Description for the item</t>
  </si>
  <si>
    <t xml:space="preserve">Formula number for the item </t>
  </si>
  <si>
    <t>Produciton line that the item runs on</t>
  </si>
  <si>
    <t>Unit of measure for values on the line (i.e. cases, lbs., eaches, etc.)</t>
  </si>
  <si>
    <t>Selling unit size (i.e. if UOM is lbs., and sales are in full cases only, this would be lbs./case).</t>
  </si>
  <si>
    <t>Number of days from production until item cannot be shipped to customers anymore. This may be different than shelf life if customers require a certain shelf life remaining upon raking delivery of the item.</t>
  </si>
  <si>
    <t>Entry</t>
  </si>
  <si>
    <t>Calculated</t>
  </si>
  <si>
    <t>(J+H*K)/4.333+H*L/52</t>
  </si>
  <si>
    <t>M*52/H</t>
  </si>
  <si>
    <t>SUM(O:Q)</t>
  </si>
  <si>
    <t>Y/52</t>
  </si>
  <si>
    <t>1-(1-Z)^(P/7)</t>
  </si>
  <si>
    <t>ROUND(NORM.S.INV(T)*SQRT(R/7*X^2+(S*W)^2)/F,0)*F</t>
  </si>
  <si>
    <t>ROUND(W*R/7+AE,0)</t>
  </si>
  <si>
    <t>52/MAX(AF/W,P/7)</t>
  </si>
  <si>
    <t>AE+AF/2</t>
  </si>
  <si>
    <t>AI*M*52</t>
  </si>
  <si>
    <t>364/P*AA</t>
  </si>
  <si>
    <t>MAX(AK-AH,0)</t>
  </si>
  <si>
    <t>AL*I-AJ</t>
  </si>
  <si>
    <t>W*(R+G)/7</t>
  </si>
  <si>
    <t>X*SQRT((R+G)/7)</t>
  </si>
  <si>
    <t>(AN/AO)^2</t>
  </si>
  <si>
    <t>AN/AP</t>
  </si>
  <si>
    <t>AG+AF</t>
  </si>
  <si>
    <t>IFERROR(GAMMA.DIST(AR,AP,AQ,TRUE),"")</t>
  </si>
  <si>
    <t>AR*GAMMA.DIST(AR,AP,AQ,TRUE)-AP*AQ* GAMMA.DIST(AR,AP+1,AQ,TRUE)</t>
  </si>
  <si>
    <t>AT*H*AH</t>
  </si>
  <si>
    <t>IF(AD&lt;&gt;"TBD",AD,IF(AM&lt;0,"MTO","MTS"))</t>
  </si>
  <si>
    <t>IF(AND(NOT(AC),AM&lt;0),"Seek to negotiate longer order lead-time so item can be MTO. ","")&amp;IF(AND(AV"MTS",AU&gt;1000),"Re-evaluate ELS to include risk of obsolescence. ","")</t>
  </si>
  <si>
    <t>Fully loaded standard cost for purposes of calculating obsolescence losses and holding costs</t>
  </si>
  <si>
    <t>Number of weeks with shipments greater than 0 in past year</t>
  </si>
  <si>
    <t>Enter true if there is an opportunity to a capture significant additional business by having inventory on hand. If not, enter false.</t>
  </si>
  <si>
    <t>IF(S=0,R&lt;V,NORM.DIST(V,R,S,TRUE)&gt;U)</t>
  </si>
  <si>
    <t>IF(OR(AB,NOT(AC)),"MTS","TBD"); If there is opportunity for additional busines or produciton is unreliable, item mmust be MTS, otherwise proceed with cost analysis.</t>
  </si>
  <si>
    <t>ROUND(SQRT(2*I*W/M)/F,0)*F (note, if there is significant probability of obsolescence, ELS must be calculated using expected value of probability distribution.  See http://shivesupplychainsolutions.com/2020/06/14/economic-lot-sizing-with-variable-demand/)</t>
  </si>
  <si>
    <t>Cost to setup (changeover) each time this item is run.  Include idle labor, utilities, and startup scrap and inefficiencies.  If line is at capacity, incude overhead also.</t>
  </si>
  <si>
    <t>Only include storage costs that are truly variable with inventory levels, such as per pallet storage at a thrid party warehouse.</t>
  </si>
  <si>
    <t>Historic obsolecence (note, if there is significant probability of obsolescence, ELS must be calculated using expected value of probability distribution.  See http://shivesupplychainsolutions.com/2020/06/14/economic-lot-sizing-with-variable-demand/)</t>
  </si>
  <si>
    <t>Opportunity cost of working capital ties up in ineventory</t>
  </si>
  <si>
    <t>Number of days before production that schedule is locked from further changes.</t>
  </si>
  <si>
    <t>Typical minimum frequency between runs of this item that may be imposed to keep like items running together</t>
  </si>
  <si>
    <t>Number of days after item is produced before it is available to ship</t>
  </si>
  <si>
    <t>Historic variability of lead-time, produciton time, and handling time.  If produciton reliable delivers as scheduled, enter 0.</t>
  </si>
  <si>
    <t>Target case fill for stocked items</t>
  </si>
  <si>
    <t>Target percentage of MTO items that ship within customer order lead-time</t>
  </si>
  <si>
    <t xml:space="preserve">Lead-time on customer orders </t>
  </si>
  <si>
    <t>Average weekly demand either from history or from forecast.  If item has significant seasonality, a more sophisticate analysis may be required.</t>
  </si>
  <si>
    <t>Standard deviation of weekly demand from history. Deseasonlize history first if the item demand comes from a forecast that has a seasonal component.</t>
  </si>
  <si>
    <t xml:space="preserve">Blogs at shivesupplychainsolutions.com </t>
  </si>
  <si>
    <t>What are the best practices for determining whether an item should be make-to-order (MTO) or make-to-stock (MTS)?  Is it better to hold finished goods inventory to react to customer demand or is it better to hold packaging and raw materials with a flexible production schedule to keep working capital down?</t>
  </si>
  <si>
    <t>Make-to-order or Make-to-stock Part 1</t>
  </si>
  <si>
    <t>Ptak, C. and Smith, C.: 2016, Demand Driven Material Requirements Planning (DDMRP), Industrial Press, Inc., New York.</t>
  </si>
  <si>
    <t>Rajagopalan, S.: 2002, Make-to-Order or Make-to-Stock: Model and Application, Management Science, 48(2), 241-256.</t>
  </si>
  <si>
    <t>Soman, C. A.: 2005, Make-to-order and make-to-stock in food processing industries, Labryrint Publications, The Netherlands.</t>
  </si>
  <si>
    <t>Zaerpour, N., Rabbani M., Gharehgozli, A.H. and Tavakkoli-Moghaddam, R.: 2008, Make-to-order or make-to-stock decision by a novel hybrid approach, Advanced Engineering Informatics, 22(2), 186-201.</t>
  </si>
  <si>
    <t>Make-to-order or Make-to-stock Part 2</t>
  </si>
  <si>
    <t>Make-to-Order vs. Make-to-Stock References</t>
  </si>
  <si>
    <t>Other Sources</t>
  </si>
  <si>
    <t>A step-by-step process for evaluating factors identified in Part 1.</t>
  </si>
  <si>
    <t>Economic Lot Sizing with Variable Demand)</t>
  </si>
  <si>
    <t>For assistance contact Shive Supply Chain Solutions LLC at info@shivesupplychainsolutions.com or call 1-877-65-SHIVE</t>
  </si>
  <si>
    <t>How Much is Enough Without Being Too Much</t>
  </si>
  <si>
    <t xml:space="preserve">Calculaiton of traditional Economic Lot Size (ELSt) o determine the optimal lot size to balance the costs of holding inventory with the costs of setting up or changing over production lines </t>
  </si>
  <si>
    <t>Traditional ELS assumes demand is constant and the cost of inventory is directly proportional to the number of units produced.  However, when items (such as food) have a fixed shelf life and variable demand, obsolescence costs are not directly proportional to production lot size.  At lower lot sizes, the risk of obsolescence may be negligible.  As lot size increases beyond a certain point, expected obsolescence costs increase faster.  With a little more math, ELS can be adapted for this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</si>
</sst>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_);_(* \(#,##0.0\);_(* &quot;-&quot;??_);_(@_)"/>
    <numFmt numFmtId="165" formatCode="0.0%"/>
    <numFmt numFmtId="166" formatCode="_(* #,##0.000_);_(* \(#,##0.000\);_(* &quot;-&quot;??_);_(@_)"/>
    <numFmt numFmtId="167" formatCode="_(* #,##0.0_);_(* \(#,##0.0\);_(* &quot;-&quot;?_);_(@_)"/>
    <numFmt numFmtId="168" formatCode="_(* #,##0_);_(* \(#,##0\);_(* &quot;-&quot;??_);_(@_)"/>
    <numFmt numFmtId="169" formatCode="_(&quot;$&quot;* #,##0.000_);_(&quot;$&quot;* \(#,##0.000\);_(&quot;$&quot;* &quot;-&quot;??_);_(@_)"/>
    <numFmt numFmtId="170" formatCode="_(* #,##0_);_(* \(#,##0\);_(* &quot;-&quot;?_);_(@_)"/>
    <numFmt numFmtId="171" formatCode="_(&quot;$&quot;* #,##0_);_(&quot;$&quot;* \(#,##0\);_(&quot;$&quot;* &quot;-&quot;??_);_(@_)"/>
  </numFmts>
  <fonts count="1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sz val="8"/>
      <name val="Calibri"/>
      <family val="2"/>
      <scheme val="minor"/>
    </font>
    <font>
      <sz val="12"/>
      <color rgb="FF404040"/>
      <name val="Source Sans Pro"/>
      <family val="2"/>
    </font>
    <font>
      <b/>
      <sz val="11"/>
      <color theme="1"/>
      <name val="Calibri"/>
      <family val="2"/>
      <scheme val="minor"/>
    </font>
    <font>
      <u/>
      <sz val="11"/>
      <color theme="10"/>
      <name val="Calibri"/>
      <family val="2"/>
      <scheme val="minor"/>
    </font>
    <font>
      <sz val="22"/>
      <color theme="1"/>
      <name val="Calibri"/>
      <family val="2"/>
      <scheme val="minor"/>
    </font>
    <font>
      <sz val="14"/>
      <color theme="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FBA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6BBEB"/>
        <bgColor indexed="64"/>
      </patternFill>
    </fill>
  </fills>
  <borders count="2">
    <border>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24">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164" fontId="0" fillId="0" borderId="0" xfId="1" applyNumberFormat="1" applyFont="1" applyAlignment="1">
      <alignment vertical="center"/>
    </xf>
    <xf numFmtId="9" fontId="0" fillId="0" borderId="0" xfId="3" applyFont="1" applyAlignment="1">
      <alignment vertical="center"/>
    </xf>
    <xf numFmtId="0" fontId="0" fillId="0" borderId="0" xfId="0" applyAlignment="1">
      <alignment horizontal="left" vertical="center" wrapText="1"/>
    </xf>
    <xf numFmtId="0" fontId="0" fillId="2" borderId="0" xfId="0" applyFill="1" applyAlignment="1">
      <alignment vertical="center"/>
    </xf>
    <xf numFmtId="0" fontId="0" fillId="2" borderId="0" xfId="0" applyFill="1" applyAlignment="1">
      <alignment horizontal="center" vertical="center" wrapText="1"/>
    </xf>
    <xf numFmtId="166" fontId="0" fillId="0" borderId="0" xfId="1" applyNumberFormat="1" applyFont="1" applyAlignment="1">
      <alignment vertical="center"/>
    </xf>
    <xf numFmtId="44" fontId="0" fillId="0" borderId="0" xfId="2" applyFont="1" applyAlignment="1">
      <alignment vertical="center"/>
    </xf>
    <xf numFmtId="0" fontId="0" fillId="3" borderId="0" xfId="0" applyFill="1" applyAlignment="1">
      <alignment horizontal="center" vertical="center" wrapText="1"/>
    </xf>
    <xf numFmtId="0" fontId="0" fillId="0" borderId="0" xfId="0" applyFill="1" applyAlignment="1">
      <alignment horizontal="center" vertical="center"/>
    </xf>
    <xf numFmtId="0" fontId="0" fillId="0" borderId="1" xfId="0" applyBorder="1" applyAlignment="1">
      <alignment vertical="center"/>
    </xf>
    <xf numFmtId="0" fontId="4" fillId="3" borderId="0" xfId="0" applyFont="1" applyFill="1" applyAlignment="1">
      <alignment horizontal="left" vertical="center"/>
    </xf>
    <xf numFmtId="0" fontId="0" fillId="3" borderId="0" xfId="0" applyFill="1" applyAlignment="1">
      <alignment horizontal="left" vertical="center" wrapText="1"/>
    </xf>
    <xf numFmtId="166" fontId="4" fillId="6" borderId="0" xfId="1" applyNumberFormat="1" applyFont="1" applyFill="1" applyAlignment="1">
      <alignment vertical="center"/>
    </xf>
    <xf numFmtId="166" fontId="0" fillId="6" borderId="0" xfId="1" applyNumberFormat="1" applyFont="1" applyFill="1" applyAlignment="1">
      <alignment vertical="center"/>
    </xf>
    <xf numFmtId="44" fontId="0" fillId="6" borderId="0" xfId="2" applyFont="1" applyFill="1" applyAlignment="1">
      <alignment vertical="center"/>
    </xf>
    <xf numFmtId="0" fontId="0" fillId="6" borderId="0" xfId="0" applyFill="1" applyAlignment="1">
      <alignment vertical="center"/>
    </xf>
    <xf numFmtId="166" fontId="0" fillId="6" borderId="0" xfId="1" applyNumberFormat="1" applyFont="1" applyFill="1" applyAlignment="1">
      <alignment horizontal="center" vertical="center" wrapText="1"/>
    </xf>
    <xf numFmtId="44" fontId="0" fillId="6" borderId="0" xfId="2" applyFont="1" applyFill="1" applyAlignment="1">
      <alignment horizontal="center" vertical="center" wrapText="1"/>
    </xf>
    <xf numFmtId="0" fontId="0" fillId="6" borderId="0" xfId="0" applyFill="1" applyAlignment="1">
      <alignment horizontal="center" vertical="center" wrapText="1"/>
    </xf>
    <xf numFmtId="0" fontId="0" fillId="8" borderId="0" xfId="0" applyFill="1" applyAlignment="1">
      <alignment horizontal="center" vertical="center"/>
    </xf>
    <xf numFmtId="0" fontId="0" fillId="8" borderId="0" xfId="0" applyFill="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horizontal="center" vertical="center" wrapText="1"/>
    </xf>
    <xf numFmtId="165" fontId="0" fillId="6" borderId="0" xfId="3" applyNumberFormat="1" applyFont="1" applyFill="1" applyBorder="1" applyAlignment="1">
      <alignment horizontal="center" vertical="center"/>
    </xf>
    <xf numFmtId="167" fontId="0" fillId="0" borderId="0" xfId="0" applyNumberFormat="1" applyAlignment="1">
      <alignment vertical="center"/>
    </xf>
    <xf numFmtId="170" fontId="0" fillId="0" borderId="0" xfId="0" applyNumberFormat="1" applyAlignment="1">
      <alignment vertical="center"/>
    </xf>
    <xf numFmtId="171" fontId="0" fillId="0" borderId="0" xfId="2" applyNumberFormat="1" applyFont="1" applyAlignment="1">
      <alignment vertical="center"/>
    </xf>
    <xf numFmtId="171" fontId="0" fillId="0" borderId="1" xfId="2" applyNumberFormat="1" applyFont="1" applyBorder="1" applyAlignment="1">
      <alignment vertical="center"/>
    </xf>
    <xf numFmtId="44" fontId="0" fillId="0" borderId="0" xfId="2" applyFont="1" applyFill="1" applyBorder="1" applyAlignment="1">
      <alignment horizontal="center" vertical="center"/>
    </xf>
    <xf numFmtId="165" fontId="0" fillId="0" borderId="0" xfId="3" applyNumberFormat="1" applyFont="1" applyFill="1" applyBorder="1" applyAlignment="1">
      <alignment horizontal="center" vertical="center"/>
    </xf>
    <xf numFmtId="169" fontId="0" fillId="0" borderId="0" xfId="2" applyNumberFormat="1" applyFont="1" applyFill="1" applyBorder="1" applyAlignment="1">
      <alignment horizontal="center" vertical="center"/>
    </xf>
    <xf numFmtId="169" fontId="0" fillId="6" borderId="0" xfId="3" applyNumberFormat="1" applyFont="1" applyFill="1" applyBorder="1" applyAlignment="1">
      <alignment horizontal="center" vertical="center" wrapText="1"/>
    </xf>
    <xf numFmtId="164" fontId="0" fillId="0" borderId="0" xfId="1" applyNumberFormat="1" applyFont="1" applyFill="1" applyAlignment="1">
      <alignment horizontal="center" vertical="center"/>
    </xf>
    <xf numFmtId="43" fontId="0" fillId="9" borderId="1" xfId="1" applyFont="1" applyFill="1" applyBorder="1" applyAlignment="1">
      <alignment vertical="center"/>
    </xf>
    <xf numFmtId="43" fontId="0" fillId="9" borderId="1" xfId="1" applyFont="1" applyFill="1" applyBorder="1" applyAlignment="1">
      <alignment horizontal="center" vertical="center" wrapText="1"/>
    </xf>
    <xf numFmtId="0" fontId="0" fillId="0" borderId="0" xfId="0" applyBorder="1" applyAlignment="1">
      <alignment vertical="center"/>
    </xf>
    <xf numFmtId="0" fontId="4" fillId="10" borderId="0" xfId="0" applyFont="1" applyFill="1" applyBorder="1" applyAlignment="1">
      <alignment vertical="center"/>
    </xf>
    <xf numFmtId="0" fontId="0" fillId="10" borderId="0" xfId="0" applyFill="1" applyBorder="1" applyAlignment="1">
      <alignment horizontal="center" vertical="center" wrapText="1"/>
    </xf>
    <xf numFmtId="43" fontId="0" fillId="0" borderId="0" xfId="1" applyFont="1" applyBorder="1" applyAlignment="1">
      <alignment vertical="center"/>
    </xf>
    <xf numFmtId="168" fontId="0" fillId="0" borderId="0" xfId="1" applyNumberFormat="1" applyFont="1" applyBorder="1" applyAlignment="1">
      <alignment vertical="center"/>
    </xf>
    <xf numFmtId="165" fontId="0" fillId="0" borderId="0" xfId="3" applyNumberFormat="1" applyFont="1" applyBorder="1" applyAlignment="1">
      <alignment vertical="center"/>
    </xf>
    <xf numFmtId="43" fontId="6" fillId="0" borderId="0" xfId="0" applyNumberFormat="1" applyFont="1" applyAlignment="1">
      <alignment vertical="center"/>
    </xf>
    <xf numFmtId="9" fontId="0" fillId="0" borderId="1" xfId="3" applyFont="1" applyFill="1" applyBorder="1" applyAlignment="1">
      <alignment horizontal="center" vertical="center"/>
    </xf>
    <xf numFmtId="44" fontId="4" fillId="10" borderId="1" xfId="2" applyFont="1" applyFill="1" applyBorder="1" applyAlignment="1">
      <alignment vertical="center"/>
    </xf>
    <xf numFmtId="44" fontId="0" fillId="10" borderId="1" xfId="2" applyFont="1" applyFill="1" applyBorder="1" applyAlignment="1">
      <alignment horizontal="center" vertical="center" wrapText="1"/>
    </xf>
    <xf numFmtId="44" fontId="0" fillId="0" borderId="1" xfId="2" applyFont="1" applyBorder="1" applyAlignment="1">
      <alignment vertical="center"/>
    </xf>
    <xf numFmtId="0" fontId="4" fillId="7" borderId="0" xfId="0" applyFont="1" applyFill="1" applyAlignment="1" applyProtection="1">
      <alignment horizontal="left" vertical="center"/>
      <protection locked="0"/>
    </xf>
    <xf numFmtId="0" fontId="0" fillId="7" borderId="0" xfId="0" applyFill="1" applyAlignment="1" applyProtection="1">
      <alignment vertical="center"/>
      <protection locked="0"/>
    </xf>
    <xf numFmtId="0" fontId="0" fillId="7" borderId="0" xfId="0" applyFill="1" applyAlignment="1" applyProtection="1">
      <alignment horizontal="center" vertical="center"/>
      <protection locked="0"/>
    </xf>
    <xf numFmtId="0" fontId="0" fillId="7" borderId="0" xfId="0" applyFill="1" applyAlignment="1" applyProtection="1">
      <alignment horizontal="left" vertical="center"/>
      <protection locked="0"/>
    </xf>
    <xf numFmtId="164" fontId="0" fillId="7" borderId="0" xfId="1" applyNumberFormat="1" applyFont="1" applyFill="1" applyBorder="1" applyAlignment="1" applyProtection="1">
      <alignment horizontal="center" vertical="center"/>
      <protection locked="0"/>
    </xf>
    <xf numFmtId="168" fontId="0" fillId="7" borderId="1" xfId="1" applyNumberFormat="1" applyFont="1" applyFill="1" applyBorder="1" applyAlignment="1" applyProtection="1">
      <alignment horizontal="center" vertical="center"/>
      <protection locked="0"/>
    </xf>
    <xf numFmtId="44" fontId="4" fillId="6" borderId="0" xfId="2" applyFont="1" applyFill="1" applyAlignment="1" applyProtection="1">
      <alignment horizontal="left" vertical="center"/>
      <protection locked="0"/>
    </xf>
    <xf numFmtId="44" fontId="0" fillId="6" borderId="0" xfId="2" applyFont="1" applyFill="1" applyAlignment="1" applyProtection="1">
      <alignment horizontal="center" vertical="center"/>
      <protection locked="0"/>
    </xf>
    <xf numFmtId="169" fontId="0" fillId="6" borderId="0" xfId="2" applyNumberFormat="1" applyFont="1" applyFill="1" applyAlignment="1" applyProtection="1">
      <alignment horizontal="center" vertical="center"/>
      <protection locked="0"/>
    </xf>
    <xf numFmtId="165" fontId="0" fillId="6" borderId="0" xfId="3" applyNumberFormat="1" applyFont="1" applyFill="1" applyAlignment="1" applyProtection="1">
      <alignment horizontal="center" vertical="center"/>
      <protection locked="0"/>
    </xf>
    <xf numFmtId="165" fontId="0" fillId="6" borderId="0" xfId="3" applyNumberFormat="1" applyFont="1" applyFill="1" applyBorder="1" applyAlignment="1" applyProtection="1">
      <alignment horizontal="center" vertical="center"/>
      <protection locked="0"/>
    </xf>
    <xf numFmtId="0" fontId="0" fillId="7" borderId="0" xfId="0" applyFill="1" applyAlignment="1" applyProtection="1">
      <alignment horizontal="left" vertical="center" wrapText="1"/>
      <protection locked="0"/>
    </xf>
    <xf numFmtId="0" fontId="0" fillId="7" borderId="0" xfId="0" applyFill="1" applyAlignment="1" applyProtection="1">
      <alignment vertical="center" wrapText="1"/>
      <protection locked="0"/>
    </xf>
    <xf numFmtId="0" fontId="0" fillId="7" borderId="0" xfId="0" applyFill="1" applyAlignment="1" applyProtection="1">
      <alignment horizontal="center" vertical="center" wrapText="1"/>
      <protection locked="0"/>
    </xf>
    <xf numFmtId="164" fontId="0" fillId="7" borderId="0" xfId="1" applyNumberFormat="1" applyFont="1" applyFill="1" applyBorder="1" applyAlignment="1" applyProtection="1">
      <alignment horizontal="center" vertical="center" wrapText="1"/>
      <protection locked="0"/>
    </xf>
    <xf numFmtId="168" fontId="0" fillId="7" borderId="1" xfId="1" applyNumberFormat="1" applyFont="1" applyFill="1" applyBorder="1" applyAlignment="1" applyProtection="1">
      <alignment horizontal="center" vertical="center" wrapText="1"/>
      <protection locked="0"/>
    </xf>
    <xf numFmtId="44" fontId="0" fillId="6" borderId="0" xfId="2" applyFont="1" applyFill="1" applyBorder="1" applyAlignment="1" applyProtection="1">
      <alignment horizontal="center" vertical="center" wrapText="1"/>
      <protection locked="0"/>
    </xf>
    <xf numFmtId="44" fontId="0" fillId="6" borderId="0" xfId="2" applyFont="1" applyFill="1" applyAlignment="1" applyProtection="1">
      <alignment horizontal="center" vertical="center" wrapText="1"/>
      <protection locked="0"/>
    </xf>
    <xf numFmtId="169" fontId="0" fillId="6" borderId="0" xfId="2" applyNumberFormat="1" applyFont="1" applyFill="1" applyAlignment="1" applyProtection="1">
      <alignment horizontal="center" vertical="center" wrapText="1"/>
      <protection locked="0"/>
    </xf>
    <xf numFmtId="165" fontId="0" fillId="6" borderId="0" xfId="3" applyNumberFormat="1" applyFont="1" applyFill="1" applyAlignment="1" applyProtection="1">
      <alignment horizontal="center" vertical="center" wrapText="1"/>
      <protection locked="0"/>
    </xf>
    <xf numFmtId="9" fontId="0" fillId="6" borderId="0" xfId="3" applyFont="1" applyFill="1" applyBorder="1" applyAlignment="1" applyProtection="1">
      <alignment horizontal="center" vertical="center" wrapText="1"/>
      <protection locked="0"/>
    </xf>
    <xf numFmtId="0" fontId="0" fillId="5" borderId="0" xfId="0" applyFill="1" applyAlignment="1" applyProtection="1">
      <alignment horizontal="left" vertical="center"/>
      <protection locked="0"/>
    </xf>
    <xf numFmtId="0" fontId="0" fillId="5" borderId="0" xfId="0" applyFill="1" applyAlignment="1" applyProtection="1">
      <alignment vertical="center"/>
      <protection locked="0"/>
    </xf>
    <xf numFmtId="0" fontId="0" fillId="5" borderId="0" xfId="0" applyFill="1" applyAlignment="1" applyProtection="1">
      <alignment horizontal="center" vertical="center"/>
      <protection locked="0"/>
    </xf>
    <xf numFmtId="164" fontId="0" fillId="5" borderId="0" xfId="1" applyNumberFormat="1" applyFont="1" applyFill="1" applyBorder="1" applyAlignment="1" applyProtection="1">
      <alignment horizontal="center" vertical="center"/>
      <protection locked="0"/>
    </xf>
    <xf numFmtId="168" fontId="0" fillId="5" borderId="1" xfId="1" applyNumberFormat="1" applyFont="1" applyFill="1" applyBorder="1" applyAlignment="1" applyProtection="1">
      <alignment horizontal="center" vertical="center"/>
      <protection locked="0"/>
    </xf>
    <xf numFmtId="44" fontId="0" fillId="5" borderId="0" xfId="2" applyFont="1" applyFill="1" applyBorder="1" applyAlignment="1" applyProtection="1">
      <alignment horizontal="center" vertical="center"/>
      <protection locked="0"/>
    </xf>
    <xf numFmtId="44" fontId="0" fillId="5" borderId="0" xfId="2" applyFont="1" applyFill="1" applyAlignment="1" applyProtection="1">
      <alignment horizontal="center" vertical="center"/>
      <protection locked="0"/>
    </xf>
    <xf numFmtId="169" fontId="0" fillId="5" borderId="0" xfId="2" applyNumberFormat="1" applyFont="1" applyFill="1" applyAlignment="1" applyProtection="1">
      <alignment horizontal="center" vertical="center"/>
      <protection locked="0"/>
    </xf>
    <xf numFmtId="165" fontId="0" fillId="5" borderId="0" xfId="3" applyNumberFormat="1" applyFont="1" applyFill="1" applyAlignment="1" applyProtection="1">
      <alignment horizontal="center" vertical="center"/>
      <protection locked="0"/>
    </xf>
    <xf numFmtId="165" fontId="0" fillId="5" borderId="0" xfId="3" applyNumberFormat="1" applyFont="1" applyFill="1" applyBorder="1" applyAlignment="1" applyProtection="1">
      <alignment horizontal="center" vertical="center"/>
      <protection locked="0"/>
    </xf>
    <xf numFmtId="49" fontId="0" fillId="5" borderId="0" xfId="0" applyNumberFormat="1" applyFill="1" applyAlignment="1" applyProtection="1">
      <alignment horizontal="left" vertical="center"/>
      <protection locked="0"/>
    </xf>
    <xf numFmtId="0" fontId="4" fillId="8" borderId="0" xfId="0" applyFont="1" applyFill="1" applyAlignment="1" applyProtection="1">
      <alignment horizontal="left" vertical="center"/>
      <protection locked="0"/>
    </xf>
    <xf numFmtId="0" fontId="0" fillId="8" borderId="0" xfId="0" applyFill="1" applyAlignment="1" applyProtection="1">
      <alignment horizontal="center" vertical="center"/>
      <protection locked="0"/>
    </xf>
    <xf numFmtId="0" fontId="0" fillId="8" borderId="0" xfId="0" applyFill="1" applyAlignment="1" applyProtection="1">
      <alignment horizontal="center" vertical="center" wrapText="1"/>
      <protection locked="0"/>
    </xf>
    <xf numFmtId="0" fontId="0" fillId="8" borderId="1" xfId="0" applyFill="1" applyBorder="1" applyAlignment="1" applyProtection="1">
      <alignment horizontal="center" vertical="center"/>
      <protection locked="0"/>
    </xf>
    <xf numFmtId="0" fontId="4" fillId="4" borderId="0" xfId="0" applyFont="1" applyFill="1" applyAlignment="1" applyProtection="1">
      <alignment horizontal="left" vertical="center"/>
      <protection locked="0"/>
    </xf>
    <xf numFmtId="165" fontId="0" fillId="4" borderId="0" xfId="3" applyNumberFormat="1" applyFont="1" applyFill="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4" fillId="9" borderId="0" xfId="0" applyFont="1" applyFill="1" applyAlignment="1" applyProtection="1">
      <alignment horizontal="left" vertical="center"/>
      <protection locked="0"/>
    </xf>
    <xf numFmtId="43" fontId="0" fillId="9" borderId="0" xfId="1" applyFont="1" applyFill="1" applyAlignment="1" applyProtection="1">
      <alignment vertical="center"/>
      <protection locked="0"/>
    </xf>
    <xf numFmtId="0" fontId="0" fillId="8" borderId="1" xfId="0" applyFill="1" applyBorder="1" applyAlignment="1" applyProtection="1">
      <alignment horizontal="center" vertical="center" wrapText="1"/>
      <protection locked="0"/>
    </xf>
    <xf numFmtId="165" fontId="0" fillId="4" borderId="0" xfId="3" applyNumberFormat="1" applyFont="1" applyFill="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164" fontId="0" fillId="9" borderId="0" xfId="1" applyNumberFormat="1" applyFont="1" applyFill="1" applyAlignment="1" applyProtection="1">
      <alignment horizontal="center" vertical="center" wrapText="1"/>
      <protection locked="0"/>
    </xf>
    <xf numFmtId="43" fontId="0" fillId="9" borderId="0" xfId="1" applyFont="1" applyFill="1" applyAlignment="1" applyProtection="1">
      <alignment horizontal="center" vertical="center" wrapText="1"/>
      <protection locked="0"/>
    </xf>
    <xf numFmtId="0" fontId="0" fillId="5" borderId="1" xfId="0" applyFill="1" applyBorder="1" applyAlignment="1" applyProtection="1">
      <alignment horizontal="center" vertical="center"/>
      <protection locked="0"/>
    </xf>
    <xf numFmtId="164" fontId="0" fillId="5" borderId="0" xfId="1" applyNumberFormat="1" applyFont="1" applyFill="1" applyAlignment="1" applyProtection="1">
      <alignment vertical="center"/>
      <protection locked="0"/>
    </xf>
    <xf numFmtId="43" fontId="0" fillId="5" borderId="0" xfId="1" applyFont="1" applyFill="1" applyAlignment="1" applyProtection="1">
      <alignment vertical="center"/>
      <protection locked="0"/>
    </xf>
    <xf numFmtId="0" fontId="4" fillId="2" borderId="0" xfId="0" applyFont="1" applyFill="1" applyAlignment="1" applyProtection="1">
      <alignment vertical="center"/>
      <protection locked="0"/>
    </xf>
    <xf numFmtId="0" fontId="0" fillId="2" borderId="0" xfId="0" applyFill="1" applyAlignment="1" applyProtection="1">
      <alignment horizontal="center" vertical="center" wrapText="1"/>
      <protection locked="0"/>
    </xf>
    <xf numFmtId="0" fontId="4" fillId="0" borderId="0" xfId="0" applyFont="1"/>
    <xf numFmtId="0" fontId="4" fillId="0" borderId="0" xfId="0" applyFont="1" applyBorder="1"/>
    <xf numFmtId="0" fontId="0" fillId="5" borderId="0" xfId="0" applyFill="1" applyBorder="1" applyAlignment="1" applyProtection="1">
      <alignment horizontal="center" vertical="center"/>
      <protection locked="0"/>
    </xf>
    <xf numFmtId="0" fontId="0" fillId="0" borderId="0" xfId="0" applyBorder="1"/>
    <xf numFmtId="168" fontId="0" fillId="5" borderId="0" xfId="1" applyNumberFormat="1" applyFont="1" applyFill="1" applyBorder="1" applyAlignment="1" applyProtection="1">
      <alignment horizontal="center" vertical="center"/>
      <protection locked="0"/>
    </xf>
    <xf numFmtId="0" fontId="0" fillId="0" borderId="0" xfId="0" applyFill="1" applyBorder="1"/>
    <xf numFmtId="0" fontId="8" fillId="0" borderId="0" xfId="4" applyAlignment="1">
      <alignment vertical="center"/>
    </xf>
    <xf numFmtId="0" fontId="8" fillId="0" borderId="0" xfId="4" applyAlignment="1">
      <alignment vertical="center" wrapText="1"/>
    </xf>
    <xf numFmtId="0" fontId="0" fillId="0" borderId="0" xfId="0" applyAlignment="1">
      <alignment horizontal="left" vertical="center"/>
    </xf>
    <xf numFmtId="0" fontId="0" fillId="0" borderId="0" xfId="0" applyBorder="1" applyAlignment="1">
      <alignment vertical="center" wrapText="1"/>
    </xf>
    <xf numFmtId="0" fontId="8" fillId="0" borderId="0" xfId="4" applyAlignment="1">
      <alignment horizontal="left" vertical="center" wrapText="1"/>
    </xf>
    <xf numFmtId="0" fontId="4" fillId="0" borderId="0" xfId="0" applyFont="1" applyAlignment="1">
      <alignment vertical="center"/>
    </xf>
    <xf numFmtId="0" fontId="8" fillId="0" borderId="0" xfId="4" applyBorder="1" applyAlignment="1">
      <alignment horizontal="left" vertical="center" wrapText="1"/>
    </xf>
    <xf numFmtId="0" fontId="0" fillId="0" borderId="0" xfId="0" applyBorder="1" applyAlignment="1">
      <alignment horizontal="left" vertical="center"/>
    </xf>
    <xf numFmtId="0" fontId="9" fillId="0" borderId="0" xfId="0" applyFont="1" applyAlignment="1">
      <alignment horizontal="left" vertical="center"/>
    </xf>
    <xf numFmtId="0" fontId="10" fillId="0" borderId="0" xfId="0" applyFont="1" applyAlignment="1">
      <alignment vertical="center"/>
    </xf>
    <xf numFmtId="0" fontId="10" fillId="5" borderId="0" xfId="0" applyFont="1" applyFill="1" applyAlignment="1">
      <alignment vertical="center"/>
    </xf>
    <xf numFmtId="0" fontId="10" fillId="0" borderId="0" xfId="0" applyFont="1" applyAlignment="1">
      <alignment horizontal="left" vertical="center" wrapText="1"/>
    </xf>
    <xf numFmtId="0" fontId="8" fillId="0" borderId="0" xfId="4" applyAlignment="1">
      <alignment horizontal="left" vertical="center" wrapText="1"/>
    </xf>
    <xf numFmtId="0" fontId="8" fillId="0" borderId="0" xfId="4" applyAlignment="1">
      <alignment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BFBA3"/>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49</xdr:col>
      <xdr:colOff>0</xdr:colOff>
      <xdr:row>0</xdr:row>
      <xdr:rowOff>0</xdr:rowOff>
    </xdr:from>
    <xdr:to>
      <xdr:col>53</xdr:col>
      <xdr:colOff>304800</xdr:colOff>
      <xdr:row>1</xdr:row>
      <xdr:rowOff>747420</xdr:rowOff>
    </xdr:to>
    <xdr:pic>
      <xdr:nvPicPr>
        <xdr:cNvPr id="2" name="Picture 1">
          <a:extLst>
            <a:ext uri="{FF2B5EF4-FFF2-40B4-BE49-F238E27FC236}">
              <a16:creationId xmlns:a16="http://schemas.microsoft.com/office/drawing/2014/main" id="{D83A9894-E293-45AB-84AA-152F56A3F6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19"/>
        <a:stretch/>
      </xdr:blipFill>
      <xdr:spPr>
        <a:xfrm>
          <a:off x="38414325" y="0"/>
          <a:ext cx="2743200" cy="937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66675</xdr:colOff>
      <xdr:row>0</xdr:row>
      <xdr:rowOff>28575</xdr:rowOff>
    </xdr:from>
    <xdr:to>
      <xdr:col>8</xdr:col>
      <xdr:colOff>371475</xdr:colOff>
      <xdr:row>5</xdr:row>
      <xdr:rowOff>13995</xdr:rowOff>
    </xdr:to>
    <xdr:pic>
      <xdr:nvPicPr>
        <xdr:cNvPr id="2" name="Picture 1">
          <a:extLst>
            <a:ext uri="{FF2B5EF4-FFF2-40B4-BE49-F238E27FC236}">
              <a16:creationId xmlns:a16="http://schemas.microsoft.com/office/drawing/2014/main" id="{81B0547D-7996-48D7-B2D5-F7017C42A0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19"/>
        <a:stretch/>
      </xdr:blipFill>
      <xdr:spPr>
        <a:xfrm>
          <a:off x="9839325" y="28575"/>
          <a:ext cx="2743200" cy="937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171450</xdr:rowOff>
    </xdr:from>
    <xdr:to>
      <xdr:col>13</xdr:col>
      <xdr:colOff>248791</xdr:colOff>
      <xdr:row>27</xdr:row>
      <xdr:rowOff>19693</xdr:rowOff>
    </xdr:to>
    <xdr:pic>
      <xdr:nvPicPr>
        <xdr:cNvPr id="3" name="Picture 2">
          <a:extLst>
            <a:ext uri="{FF2B5EF4-FFF2-40B4-BE49-F238E27FC236}">
              <a16:creationId xmlns:a16="http://schemas.microsoft.com/office/drawing/2014/main" id="{55AA5DB0-8C34-45A9-9ECB-58F2D3052A49}"/>
            </a:ext>
          </a:extLst>
        </xdr:cNvPr>
        <xdr:cNvPicPr>
          <a:picLocks noChangeAspect="1"/>
        </xdr:cNvPicPr>
      </xdr:nvPicPr>
      <xdr:blipFill>
        <a:blip xmlns:r="http://schemas.openxmlformats.org/officeDocument/2006/relationships" r:embed="rId1"/>
        <a:stretch>
          <a:fillRect/>
        </a:stretch>
      </xdr:blipFill>
      <xdr:spPr>
        <a:xfrm>
          <a:off x="0" y="552450"/>
          <a:ext cx="8173591" cy="4610743"/>
        </a:xfrm>
        <a:prstGeom prst="rect">
          <a:avLst/>
        </a:prstGeom>
      </xdr:spPr>
    </xdr:pic>
    <xdr:clientData/>
  </xdr:twoCellAnchor>
  <xdr:twoCellAnchor editAs="oneCell">
    <xdr:from>
      <xdr:col>0</xdr:col>
      <xdr:colOff>0</xdr:colOff>
      <xdr:row>24</xdr:row>
      <xdr:rowOff>0</xdr:rowOff>
    </xdr:from>
    <xdr:to>
      <xdr:col>13</xdr:col>
      <xdr:colOff>305949</xdr:colOff>
      <xdr:row>48</xdr:row>
      <xdr:rowOff>57796</xdr:rowOff>
    </xdr:to>
    <xdr:pic>
      <xdr:nvPicPr>
        <xdr:cNvPr id="4" name="Picture 3">
          <a:extLst>
            <a:ext uri="{FF2B5EF4-FFF2-40B4-BE49-F238E27FC236}">
              <a16:creationId xmlns:a16="http://schemas.microsoft.com/office/drawing/2014/main" id="{8D1D88BC-AB2D-40E6-BEE7-0D54B8C4AE08}"/>
            </a:ext>
          </a:extLst>
        </xdr:cNvPr>
        <xdr:cNvPicPr>
          <a:picLocks noChangeAspect="1"/>
        </xdr:cNvPicPr>
      </xdr:nvPicPr>
      <xdr:blipFill>
        <a:blip xmlns:r="http://schemas.openxmlformats.org/officeDocument/2006/relationships" r:embed="rId2"/>
        <a:stretch>
          <a:fillRect/>
        </a:stretch>
      </xdr:blipFill>
      <xdr:spPr>
        <a:xfrm>
          <a:off x="0" y="4572000"/>
          <a:ext cx="8230749" cy="4629796"/>
        </a:xfrm>
        <a:prstGeom prst="rect">
          <a:avLst/>
        </a:prstGeom>
      </xdr:spPr>
    </xdr:pic>
    <xdr:clientData/>
  </xdr:twoCellAnchor>
  <xdr:twoCellAnchor editAs="oneCell">
    <xdr:from>
      <xdr:col>10</xdr:col>
      <xdr:colOff>514350</xdr:colOff>
      <xdr:row>0</xdr:row>
      <xdr:rowOff>85725</xdr:rowOff>
    </xdr:from>
    <xdr:to>
      <xdr:col>15</xdr:col>
      <xdr:colOff>209550</xdr:colOff>
      <xdr:row>5</xdr:row>
      <xdr:rowOff>71145</xdr:rowOff>
    </xdr:to>
    <xdr:pic>
      <xdr:nvPicPr>
        <xdr:cNvPr id="5" name="Picture 4">
          <a:extLst>
            <a:ext uri="{FF2B5EF4-FFF2-40B4-BE49-F238E27FC236}">
              <a16:creationId xmlns:a16="http://schemas.microsoft.com/office/drawing/2014/main" id="{BD59FCBF-60AC-44B1-BD81-27FDE9614AC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19"/>
        <a:stretch/>
      </xdr:blipFill>
      <xdr:spPr>
        <a:xfrm>
          <a:off x="6610350" y="85725"/>
          <a:ext cx="2743200" cy="937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1981200</xdr:colOff>
      <xdr:row>3</xdr:row>
      <xdr:rowOff>118770</xdr:rowOff>
    </xdr:to>
    <xdr:pic>
      <xdr:nvPicPr>
        <xdr:cNvPr id="2" name="Picture 1">
          <a:extLst>
            <a:ext uri="{FF2B5EF4-FFF2-40B4-BE49-F238E27FC236}">
              <a16:creationId xmlns:a16="http://schemas.microsoft.com/office/drawing/2014/main" id="{15FD914A-B0C5-42EB-A2E2-FBE2A8907C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19"/>
        <a:stretch/>
      </xdr:blipFill>
      <xdr:spPr>
        <a:xfrm>
          <a:off x="0" y="28575"/>
          <a:ext cx="2743200" cy="937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hivesupplychainsolutions.com/2020/04/25/how-much-is-enough-without-being-too-much/" TargetMode="External"/><Relationship Id="rId3" Type="http://schemas.openxmlformats.org/officeDocument/2006/relationships/hyperlink" Target="https://www.researchgate.net/publication/227447486_Make_to_Order_or_Make_to_Stock_Model_and_Application" TargetMode="External"/><Relationship Id="rId7" Type="http://schemas.openxmlformats.org/officeDocument/2006/relationships/hyperlink" Target="http://shivesupplychainsolutions.com/2020/06/14/economic-lot-sizing-with-variable-demand/" TargetMode="External"/><Relationship Id="rId2" Type="http://schemas.openxmlformats.org/officeDocument/2006/relationships/hyperlink" Target="https://www.amazon.com/Demand-Material-Requirements-Planning-Version/dp/0831136510" TargetMode="External"/><Relationship Id="rId1" Type="http://schemas.openxmlformats.org/officeDocument/2006/relationships/hyperlink" Target="http://shivesupplychainsolutions.com/2020/09/02/make-to-order-or-make-to-stock/" TargetMode="External"/><Relationship Id="rId6" Type="http://schemas.openxmlformats.org/officeDocument/2006/relationships/hyperlink" Target="http://shivesupplychainsolutions.com/2020/10/31/make-to-order-or-make-to-stock-part-2/" TargetMode="External"/><Relationship Id="rId5" Type="http://schemas.openxmlformats.org/officeDocument/2006/relationships/hyperlink" Target="https://www.sciencedirect.com/science/article/abs/pii/S1474034607000729" TargetMode="External"/><Relationship Id="rId4" Type="http://schemas.openxmlformats.org/officeDocument/2006/relationships/hyperlink" Target="https://www.rug.nl/research/portal/files/9819437/thesis.pdf" TargetMode="External"/><Relationship Id="rId9"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17C7-AA6F-4C20-A83E-5591679CC743}">
  <dimension ref="A1:AW35"/>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11" style="74" bestFit="1" customWidth="1"/>
    <col min="2" max="2" width="13.42578125" style="75" bestFit="1" customWidth="1"/>
    <col min="3" max="3" width="10.5703125" style="76" bestFit="1" customWidth="1"/>
    <col min="4" max="4" width="10.5703125" style="74" customWidth="1"/>
    <col min="5" max="5" width="10.42578125" style="76" customWidth="1"/>
    <col min="6" max="6" width="8.42578125" style="77" customWidth="1"/>
    <col min="7" max="7" width="10.140625" style="78" customWidth="1"/>
    <col min="8" max="8" width="10" style="79" customWidth="1"/>
    <col min="9" max="9" width="11.28515625" style="80" customWidth="1"/>
    <col min="10" max="10" width="11.28515625" style="81" customWidth="1"/>
    <col min="11" max="11" width="13" style="82" customWidth="1"/>
    <col min="12" max="12" width="8.7109375" style="83" customWidth="1"/>
    <col min="13" max="13" width="9.5703125" style="35" customWidth="1"/>
    <col min="14" max="14" width="11.140625" style="35" customWidth="1"/>
    <col min="15" max="15" width="10.7109375" style="76" customWidth="1"/>
    <col min="16" max="17" width="11.28515625" style="76" customWidth="1"/>
    <col min="18" max="18" width="12.42578125" style="12" customWidth="1"/>
    <col min="19" max="19" width="12.28515625" style="99" customWidth="1"/>
    <col min="20" max="20" width="8.85546875" style="82" customWidth="1"/>
    <col min="21" max="21" width="9.42578125" style="82" customWidth="1"/>
    <col min="22" max="22" width="11.140625" style="99" customWidth="1"/>
    <col min="23" max="23" width="9.5703125" style="100" customWidth="1"/>
    <col min="24" max="24" width="10.5703125" style="101" customWidth="1"/>
    <col min="25" max="25" width="8.5703125" style="76" customWidth="1"/>
    <col min="26" max="26" width="10.28515625" style="49" customWidth="1"/>
    <col min="27" max="27" width="13.42578125" style="49" customWidth="1"/>
    <col min="28" max="28" width="13.28515625" style="75" customWidth="1"/>
    <col min="29" max="29" width="14.5703125" style="2" customWidth="1"/>
    <col min="30" max="30" width="9.140625" style="27" customWidth="1"/>
    <col min="31" max="31" width="9.5703125" style="9" customWidth="1"/>
    <col min="32" max="33" width="9.140625" style="9" customWidth="1"/>
    <col min="34" max="34" width="11.42578125" style="9" customWidth="1"/>
    <col min="35" max="35" width="10.85546875" style="9" customWidth="1"/>
    <col min="36" max="36" width="11.5703125" style="10" customWidth="1"/>
    <col min="37" max="37" width="10.5703125" style="12" customWidth="1"/>
    <col min="38" max="38" width="11" style="2" customWidth="1"/>
    <col min="39" max="39" width="12.7109375" style="13" customWidth="1"/>
    <col min="40" max="41" width="12.7109375" style="42" customWidth="1"/>
    <col min="42" max="43" width="11.7109375" style="42" customWidth="1"/>
    <col min="44" max="44" width="11.5703125" style="42" customWidth="1"/>
    <col min="45" max="46" width="14" style="42" customWidth="1"/>
    <col min="47" max="47" width="14" style="52" customWidth="1"/>
    <col min="48" max="48" width="14" style="3" bestFit="1" customWidth="1"/>
    <col min="49" max="49" width="37.28515625" style="6" customWidth="1"/>
    <col min="50" max="16384" width="9.140625" style="2"/>
  </cols>
  <sheetData>
    <row r="1" spans="1:49" x14ac:dyDescent="0.25">
      <c r="A1" s="53" t="s">
        <v>46</v>
      </c>
      <c r="B1" s="54"/>
      <c r="C1" s="55"/>
      <c r="D1" s="56"/>
      <c r="E1" s="55"/>
      <c r="F1" s="57"/>
      <c r="G1" s="58"/>
      <c r="H1" s="59" t="s">
        <v>47</v>
      </c>
      <c r="I1" s="60"/>
      <c r="J1" s="61"/>
      <c r="K1" s="62"/>
      <c r="L1" s="63"/>
      <c r="M1" s="30"/>
      <c r="N1" s="30"/>
      <c r="O1" s="85" t="s">
        <v>45</v>
      </c>
      <c r="P1" s="86"/>
      <c r="Q1" s="86"/>
      <c r="R1" s="23"/>
      <c r="S1" s="88"/>
      <c r="T1" s="89" t="s">
        <v>49</v>
      </c>
      <c r="U1" s="90"/>
      <c r="V1" s="91"/>
      <c r="W1" s="92" t="s">
        <v>48</v>
      </c>
      <c r="X1" s="93"/>
      <c r="Y1" s="93"/>
      <c r="Z1" s="40"/>
      <c r="AA1" s="40"/>
      <c r="AB1" s="102" t="s">
        <v>13</v>
      </c>
      <c r="AC1" s="7"/>
      <c r="AD1" s="25"/>
      <c r="AE1" s="16" t="s">
        <v>14</v>
      </c>
      <c r="AF1" s="17"/>
      <c r="AG1" s="17"/>
      <c r="AH1" s="17"/>
      <c r="AI1" s="17"/>
      <c r="AJ1" s="18"/>
      <c r="AK1" s="19"/>
      <c r="AL1" s="19"/>
      <c r="AM1" s="28"/>
      <c r="AN1" s="43" t="s">
        <v>69</v>
      </c>
      <c r="AO1" s="43"/>
      <c r="AP1" s="43"/>
      <c r="AQ1" s="43"/>
      <c r="AR1" s="43"/>
      <c r="AS1" s="43"/>
      <c r="AT1" s="43"/>
      <c r="AU1" s="50"/>
      <c r="AV1" s="14" t="s">
        <v>51</v>
      </c>
      <c r="AW1" s="15"/>
    </row>
    <row r="2" spans="1:49" s="1" customFormat="1" ht="90" x14ac:dyDescent="0.25">
      <c r="A2" s="64" t="s">
        <v>0</v>
      </c>
      <c r="B2" s="65" t="s">
        <v>1</v>
      </c>
      <c r="C2" s="64" t="s">
        <v>9</v>
      </c>
      <c r="D2" s="64" t="s">
        <v>15</v>
      </c>
      <c r="E2" s="66" t="s">
        <v>36</v>
      </c>
      <c r="F2" s="67" t="s">
        <v>32</v>
      </c>
      <c r="G2" s="68" t="s">
        <v>54</v>
      </c>
      <c r="H2" s="69" t="s">
        <v>59</v>
      </c>
      <c r="I2" s="70" t="s">
        <v>190</v>
      </c>
      <c r="J2" s="71" t="s">
        <v>55</v>
      </c>
      <c r="K2" s="72" t="s">
        <v>50</v>
      </c>
      <c r="L2" s="73" t="s">
        <v>53</v>
      </c>
      <c r="M2" s="38" t="s">
        <v>56</v>
      </c>
      <c r="N2" s="38" t="s">
        <v>63</v>
      </c>
      <c r="O2" s="87" t="s">
        <v>40</v>
      </c>
      <c r="P2" s="87" t="s">
        <v>39</v>
      </c>
      <c r="Q2" s="87" t="s">
        <v>38</v>
      </c>
      <c r="R2" s="24" t="s">
        <v>37</v>
      </c>
      <c r="S2" s="94" t="s">
        <v>41</v>
      </c>
      <c r="T2" s="95" t="s">
        <v>42</v>
      </c>
      <c r="U2" s="95" t="s">
        <v>43</v>
      </c>
      <c r="V2" s="96" t="s">
        <v>33</v>
      </c>
      <c r="W2" s="97" t="s">
        <v>34</v>
      </c>
      <c r="X2" s="98" t="s">
        <v>35</v>
      </c>
      <c r="Y2" s="98" t="s">
        <v>61</v>
      </c>
      <c r="Z2" s="41" t="s">
        <v>62</v>
      </c>
      <c r="AA2" s="41" t="s">
        <v>64</v>
      </c>
      <c r="AB2" s="103" t="s">
        <v>2</v>
      </c>
      <c r="AC2" s="8" t="s">
        <v>3</v>
      </c>
      <c r="AD2" s="26" t="s">
        <v>66</v>
      </c>
      <c r="AE2" s="20" t="s">
        <v>44</v>
      </c>
      <c r="AF2" s="20" t="s">
        <v>28</v>
      </c>
      <c r="AG2" s="20" t="s">
        <v>70</v>
      </c>
      <c r="AH2" s="20" t="s">
        <v>68</v>
      </c>
      <c r="AI2" s="20" t="s">
        <v>57</v>
      </c>
      <c r="AJ2" s="21" t="s">
        <v>29</v>
      </c>
      <c r="AK2" s="22" t="s">
        <v>60</v>
      </c>
      <c r="AL2" s="22" t="s">
        <v>30</v>
      </c>
      <c r="AM2" s="29" t="s">
        <v>67</v>
      </c>
      <c r="AN2" s="44" t="s">
        <v>74</v>
      </c>
      <c r="AO2" s="44" t="s">
        <v>75</v>
      </c>
      <c r="AP2" s="44" t="s">
        <v>72</v>
      </c>
      <c r="AQ2" s="44" t="s">
        <v>73</v>
      </c>
      <c r="AR2" s="44" t="s">
        <v>71</v>
      </c>
      <c r="AS2" s="44" t="s">
        <v>76</v>
      </c>
      <c r="AT2" s="44" t="s">
        <v>77</v>
      </c>
      <c r="AU2" s="51" t="s">
        <v>78</v>
      </c>
      <c r="AV2" s="11" t="s">
        <v>52</v>
      </c>
      <c r="AW2" s="15" t="s">
        <v>26</v>
      </c>
    </row>
    <row r="3" spans="1:49" ht="15.75" x14ac:dyDescent="0.25">
      <c r="A3" s="74" t="s">
        <v>128</v>
      </c>
      <c r="B3" s="75" t="s">
        <v>4</v>
      </c>
      <c r="C3" s="74" t="s">
        <v>10</v>
      </c>
      <c r="D3" s="74" t="s">
        <v>16</v>
      </c>
      <c r="E3" s="76" t="s">
        <v>31</v>
      </c>
      <c r="F3" s="77">
        <v>10</v>
      </c>
      <c r="G3" s="78">
        <v>120</v>
      </c>
      <c r="H3" s="79">
        <v>9.25</v>
      </c>
      <c r="I3" s="80">
        <v>650</v>
      </c>
      <c r="J3" s="81">
        <v>3.7999999999999999E-2</v>
      </c>
      <c r="K3" s="82">
        <v>6.0000000000000001E-3</v>
      </c>
      <c r="L3" s="83">
        <v>8.5000000000000006E-2</v>
      </c>
      <c r="M3" s="37">
        <f t="shared" ref="M3:M33" si="0">(J3+H3*K3)/4.333+H3*L3/52</f>
        <v>3.6698775275612917E-2</v>
      </c>
      <c r="N3" s="36">
        <f t="shared" ref="N3:N33" si="1">M3*52/H3</f>
        <v>0.20630662857641857</v>
      </c>
      <c r="O3" s="76">
        <v>5</v>
      </c>
      <c r="P3" s="76">
        <v>7</v>
      </c>
      <c r="Q3" s="76">
        <v>1</v>
      </c>
      <c r="R3" s="12">
        <f>SUM(O3:Q3)</f>
        <v>13</v>
      </c>
      <c r="S3" s="99">
        <v>0</v>
      </c>
      <c r="T3" s="82">
        <v>0.95</v>
      </c>
      <c r="U3" s="82">
        <v>0.97499999999999998</v>
      </c>
      <c r="V3" s="99">
        <v>7</v>
      </c>
      <c r="W3" s="100">
        <v>1205</v>
      </c>
      <c r="X3" s="101">
        <v>877</v>
      </c>
      <c r="Y3" s="76">
        <v>52</v>
      </c>
      <c r="Z3" s="49">
        <f>Y3/52</f>
        <v>1</v>
      </c>
      <c r="AA3" s="49">
        <f t="shared" ref="AA3:AA33" si="2">1-(1-Z3)^(P3/7)</f>
        <v>1</v>
      </c>
      <c r="AB3" s="75" t="b">
        <v>0</v>
      </c>
      <c r="AC3" s="5" t="b">
        <f t="shared" ref="AC3:AC33" si="3">IF(S3=0,R3&lt;V3,_xlfn.NORM.DIST(V3,R3,S3,TRUE)&gt;U3)</f>
        <v>0</v>
      </c>
      <c r="AD3" s="27" t="str">
        <f t="shared" ref="AD3:AD33" si="4">IF(OR(AB3,NOT(AC3)),"MTS","TBD")</f>
        <v>MTS</v>
      </c>
      <c r="AE3" s="4">
        <f t="shared" ref="AE3:AE33" si="5">ROUND(_xlfn.NORM.S.INV(T3)*SQRT(R3/7*X3^2+(S3*W3)^2)/F3,0)*F3</f>
        <v>1970</v>
      </c>
      <c r="AF3" s="32">
        <f t="shared" ref="AF3:AF33" si="6">ROUND(SQRT(2*I3*W3/M3)/F3,0)*F3</f>
        <v>6530</v>
      </c>
      <c r="AG3" s="32">
        <f t="shared" ref="AG3:AG33" si="7">ROUND(W3*R3/7+AE3,0)</f>
        <v>4208</v>
      </c>
      <c r="AH3" s="4">
        <f t="shared" ref="AH3:AH33" si="8">52/MAX(AF3/W3,P3/7)</f>
        <v>9.5957120980091872</v>
      </c>
      <c r="AI3" s="4">
        <f t="shared" ref="AI3:AI33" si="9">AE3+AF3/2</f>
        <v>5235</v>
      </c>
      <c r="AJ3" s="33">
        <f t="shared" ref="AJ3:AJ33" si="10">AI3*M3*52</f>
        <v>9990.1406055273474</v>
      </c>
      <c r="AK3" s="39">
        <f t="shared" ref="AK3:AK33" si="11">364/P3*AA3</f>
        <v>52</v>
      </c>
      <c r="AL3" s="31">
        <f t="shared" ref="AL3:AL33" si="12">MAX(AK3-AH3,0)</f>
        <v>42.404287901990813</v>
      </c>
      <c r="AM3" s="34">
        <f t="shared" ref="AM3:AM33" si="13">AL3*I3-AJ3</f>
        <v>17572.64653076668</v>
      </c>
      <c r="AN3" s="45">
        <f t="shared" ref="AN3:AN33" si="14">W3*(R3+G3)/7</f>
        <v>22895</v>
      </c>
      <c r="AO3" s="45">
        <f t="shared" ref="AO3:AO33" si="15">X3*SQRT((R3+G3)/7)</f>
        <v>3822.7543734851711</v>
      </c>
      <c r="AP3" s="45">
        <f>(AN3/AO3)^2</f>
        <v>35.869763069654105</v>
      </c>
      <c r="AQ3" s="45">
        <f>AN3/AP3</f>
        <v>638.28132780083001</v>
      </c>
      <c r="AR3" s="46">
        <f t="shared" ref="AR3:AR33" si="16">AG3+AF3</f>
        <v>10738</v>
      </c>
      <c r="AS3" s="47">
        <f t="shared" ref="AS3:AS33" si="17">IFERROR(_xlfn.GAMMA.DIST(AR3,AP3,AQ3,TRUE),"")</f>
        <v>3.6069850796475179E-5</v>
      </c>
      <c r="AT3" s="48">
        <f t="shared" ref="AT3:AT33" si="18">AR3*_xlfn.GAMMA.DIST(AR3,AP3,AQ3,TRUE)-AP3*AQ3* _xlfn.GAMMA.DIST(AR3,AP3+1,AQ3,TRUE)</f>
        <v>1.8012050867874885E-2</v>
      </c>
      <c r="AU3" s="52">
        <f t="shared" ref="AU3:AU33" si="19">AT3*H3*AH3</f>
        <v>1.5987557034111213</v>
      </c>
      <c r="AV3" s="3" t="str">
        <f t="shared" ref="AV3:AV33" si="20">IF(AD3&lt;&gt;"TBD",AD3,IF(AM3&lt;=0,"MTO","MTS"))</f>
        <v>MTS</v>
      </c>
      <c r="AW3" s="6" t="str">
        <f>IF(AND(NOT(AC3),AM3&lt;0),"Seek to negotiate longer order lead-time so item can be MTO. ","")&amp;IF(AND(AV3="MTS",AU3&gt;1000),"Re-evaluate ELS to include risk of obsolescence. ","")</f>
        <v/>
      </c>
    </row>
    <row r="4" spans="1:49" ht="30" x14ac:dyDescent="0.25">
      <c r="A4" s="74" t="s">
        <v>129</v>
      </c>
      <c r="B4" s="75" t="s">
        <v>5</v>
      </c>
      <c r="C4" s="74" t="s">
        <v>11</v>
      </c>
      <c r="D4" s="74" t="s">
        <v>16</v>
      </c>
      <c r="E4" s="76" t="s">
        <v>31</v>
      </c>
      <c r="F4" s="77">
        <v>20</v>
      </c>
      <c r="G4" s="78">
        <v>120</v>
      </c>
      <c r="H4" s="79">
        <v>20.5</v>
      </c>
      <c r="I4" s="80">
        <v>500</v>
      </c>
      <c r="J4" s="81">
        <v>8.4000000000000005E-2</v>
      </c>
      <c r="K4" s="82">
        <v>3.0000000000000001E-3</v>
      </c>
      <c r="L4" s="83">
        <v>8.5000000000000006E-2</v>
      </c>
      <c r="M4" s="37">
        <f t="shared" si="0"/>
        <v>6.7089121500470458E-2</v>
      </c>
      <c r="N4" s="36">
        <f t="shared" si="1"/>
        <v>0.17017728380607142</v>
      </c>
      <c r="O4" s="76">
        <v>5</v>
      </c>
      <c r="P4" s="76">
        <v>21</v>
      </c>
      <c r="Q4" s="76">
        <v>4</v>
      </c>
      <c r="R4" s="12">
        <f t="shared" ref="R4:R7" si="21">SUM(O4:Q4)</f>
        <v>30</v>
      </c>
      <c r="S4" s="99">
        <v>0.66</v>
      </c>
      <c r="T4" s="82">
        <v>0.99</v>
      </c>
      <c r="U4" s="82">
        <v>0.97499999999999998</v>
      </c>
      <c r="V4" s="99">
        <v>14</v>
      </c>
      <c r="W4" s="100">
        <v>8125</v>
      </c>
      <c r="X4" s="101">
        <v>2900</v>
      </c>
      <c r="Y4" s="76">
        <v>50</v>
      </c>
      <c r="Z4" s="49">
        <f t="shared" ref="Z4:Z33" si="22">Y4/52</f>
        <v>0.96153846153846156</v>
      </c>
      <c r="AA4" s="49">
        <f t="shared" si="2"/>
        <v>0.99994310423304511</v>
      </c>
      <c r="AB4" s="75" t="b">
        <v>0</v>
      </c>
      <c r="AC4" s="5" t="b">
        <f t="shared" si="3"/>
        <v>0</v>
      </c>
      <c r="AD4" s="27" t="str">
        <f t="shared" si="4"/>
        <v>MTS</v>
      </c>
      <c r="AE4" s="4">
        <f t="shared" si="5"/>
        <v>18720</v>
      </c>
      <c r="AF4" s="32">
        <f t="shared" si="6"/>
        <v>11000</v>
      </c>
      <c r="AG4" s="32">
        <f t="shared" si="7"/>
        <v>53541</v>
      </c>
      <c r="AH4" s="4">
        <f t="shared" si="8"/>
        <v>17.333333333333332</v>
      </c>
      <c r="AI4" s="4">
        <f t="shared" si="9"/>
        <v>24220</v>
      </c>
      <c r="AJ4" s="33">
        <f t="shared" si="10"/>
        <v>84494.723182552523</v>
      </c>
      <c r="AK4" s="39">
        <f t="shared" si="11"/>
        <v>17.332347140039449</v>
      </c>
      <c r="AL4" s="31">
        <f t="shared" si="12"/>
        <v>0</v>
      </c>
      <c r="AM4" s="34">
        <f t="shared" si="13"/>
        <v>-84494.723182552523</v>
      </c>
      <c r="AN4" s="45">
        <f t="shared" si="14"/>
        <v>174107.14285714287</v>
      </c>
      <c r="AO4" s="45">
        <f t="shared" si="15"/>
        <v>13424.391446701997</v>
      </c>
      <c r="AP4" s="45">
        <f t="shared" ref="AP4:AP33" si="23">(AN4/AO4)^2</f>
        <v>168.20696025140143</v>
      </c>
      <c r="AQ4" s="45">
        <f t="shared" ref="AQ4:AQ33" si="24">AN4/AP4</f>
        <v>1035.0769230769229</v>
      </c>
      <c r="AR4" s="46">
        <f t="shared" si="16"/>
        <v>64541</v>
      </c>
      <c r="AS4" s="47">
        <f t="shared" si="17"/>
        <v>1.4588093128230195E-28</v>
      </c>
      <c r="AT4" s="48">
        <f t="shared" si="18"/>
        <v>8.7185467748264244E-26</v>
      </c>
      <c r="AU4" s="52">
        <f t="shared" si="19"/>
        <v>3.0979902873216556E-23</v>
      </c>
      <c r="AV4" s="3" t="str">
        <f t="shared" si="20"/>
        <v>MTS</v>
      </c>
      <c r="AW4" s="6" t="str">
        <f t="shared" ref="AW4:AW33" si="25">IF(AND(NOT(AC4),AM4&lt;0),"Seek to negotiate longer order lead-time so item can be MTO. ","")&amp;IF(AND(AV4="MTS",AU4&gt;1000),"Re-evaluate ELS to include risk of obsolescence. ","")</f>
        <v xml:space="preserve">Seek to negotiate longer order lead-time so item can be MTO. </v>
      </c>
    </row>
    <row r="5" spans="1:49" ht="15.75" x14ac:dyDescent="0.25">
      <c r="A5" s="74" t="s">
        <v>101</v>
      </c>
      <c r="B5" s="75" t="s">
        <v>6</v>
      </c>
      <c r="C5" s="74" t="s">
        <v>10</v>
      </c>
      <c r="D5" s="74" t="s">
        <v>16</v>
      </c>
      <c r="E5" s="76" t="s">
        <v>31</v>
      </c>
      <c r="F5" s="77">
        <v>12</v>
      </c>
      <c r="G5" s="78">
        <v>120</v>
      </c>
      <c r="H5" s="79">
        <v>9.17</v>
      </c>
      <c r="I5" s="80">
        <v>700</v>
      </c>
      <c r="J5" s="81">
        <v>0.05</v>
      </c>
      <c r="K5" s="82">
        <v>0.05</v>
      </c>
      <c r="L5" s="83">
        <v>8.5000000000000006E-2</v>
      </c>
      <c r="M5" s="37">
        <f t="shared" si="0"/>
        <v>0.13234460424470523</v>
      </c>
      <c r="N5" s="36">
        <f t="shared" si="1"/>
        <v>0.75048194337237428</v>
      </c>
      <c r="O5" s="76">
        <v>5</v>
      </c>
      <c r="P5" s="76">
        <v>7</v>
      </c>
      <c r="Q5" s="76">
        <v>1</v>
      </c>
      <c r="R5" s="12">
        <f t="shared" si="21"/>
        <v>13</v>
      </c>
      <c r="S5" s="99">
        <v>0</v>
      </c>
      <c r="T5" s="82">
        <v>0.97</v>
      </c>
      <c r="U5" s="82">
        <v>0.99</v>
      </c>
      <c r="V5" s="99">
        <v>21</v>
      </c>
      <c r="W5" s="100">
        <v>825</v>
      </c>
      <c r="X5" s="101">
        <v>2333</v>
      </c>
      <c r="Y5" s="76">
        <v>30</v>
      </c>
      <c r="Z5" s="49">
        <f t="shared" si="22"/>
        <v>0.57692307692307687</v>
      </c>
      <c r="AA5" s="49">
        <f t="shared" si="2"/>
        <v>0.57692307692307687</v>
      </c>
      <c r="AB5" s="75" t="b">
        <v>0</v>
      </c>
      <c r="AC5" s="5" t="b">
        <f t="shared" si="3"/>
        <v>1</v>
      </c>
      <c r="AD5" s="27" t="str">
        <f t="shared" si="4"/>
        <v>TBD</v>
      </c>
      <c r="AE5" s="4">
        <f t="shared" si="5"/>
        <v>5976</v>
      </c>
      <c r="AF5" s="32">
        <f t="shared" si="6"/>
        <v>2952</v>
      </c>
      <c r="AG5" s="32">
        <f t="shared" si="7"/>
        <v>7508</v>
      </c>
      <c r="AH5" s="4">
        <f t="shared" si="8"/>
        <v>14.532520325203253</v>
      </c>
      <c r="AI5" s="4">
        <f t="shared" si="9"/>
        <v>7452</v>
      </c>
      <c r="AJ5" s="33">
        <f t="shared" si="10"/>
        <v>51284.063523240256</v>
      </c>
      <c r="AK5" s="39">
        <f t="shared" si="11"/>
        <v>29.999999999999996</v>
      </c>
      <c r="AL5" s="31">
        <f t="shared" si="12"/>
        <v>15.467479674796744</v>
      </c>
      <c r="AM5" s="34">
        <f t="shared" si="13"/>
        <v>-40456.827750882534</v>
      </c>
      <c r="AN5" s="45">
        <f t="shared" si="14"/>
        <v>15675</v>
      </c>
      <c r="AO5" s="45">
        <f t="shared" si="15"/>
        <v>10169.311235280393</v>
      </c>
      <c r="AP5" s="45">
        <f t="shared" si="23"/>
        <v>2.3759211330600345</v>
      </c>
      <c r="AQ5" s="45">
        <f t="shared" si="24"/>
        <v>6597.4412121212135</v>
      </c>
      <c r="AR5" s="46">
        <f t="shared" si="16"/>
        <v>10460</v>
      </c>
      <c r="AS5" s="47">
        <f t="shared" si="17"/>
        <v>0.35946941687798062</v>
      </c>
      <c r="AT5" s="48">
        <f t="shared" si="18"/>
        <v>1428.7165499943203</v>
      </c>
      <c r="AU5" s="52">
        <f t="shared" si="19"/>
        <v>190395.3556070175</v>
      </c>
      <c r="AV5" s="3" t="str">
        <f t="shared" si="20"/>
        <v>MTO</v>
      </c>
      <c r="AW5" s="6" t="str">
        <f t="shared" si="25"/>
        <v/>
      </c>
    </row>
    <row r="6" spans="1:49" ht="30" x14ac:dyDescent="0.25">
      <c r="A6" s="74" t="s">
        <v>130</v>
      </c>
      <c r="B6" s="75" t="s">
        <v>7</v>
      </c>
      <c r="C6" s="74" t="s">
        <v>12</v>
      </c>
      <c r="D6" s="74" t="s">
        <v>16</v>
      </c>
      <c r="E6" s="76" t="s">
        <v>31</v>
      </c>
      <c r="F6" s="77">
        <v>6.5</v>
      </c>
      <c r="G6" s="78">
        <v>180</v>
      </c>
      <c r="H6" s="79">
        <v>6.57</v>
      </c>
      <c r="I6" s="80">
        <v>410</v>
      </c>
      <c r="J6" s="81">
        <v>2.3E-2</v>
      </c>
      <c r="K6" s="82">
        <v>5.0000000000000001E-3</v>
      </c>
      <c r="L6" s="83">
        <v>8.5000000000000006E-2</v>
      </c>
      <c r="M6" s="37">
        <f t="shared" si="0"/>
        <v>2.3628876111771911E-2</v>
      </c>
      <c r="N6" s="36">
        <f t="shared" si="1"/>
        <v>0.18701697988008209</v>
      </c>
      <c r="O6" s="76">
        <v>5</v>
      </c>
      <c r="P6" s="76">
        <v>14</v>
      </c>
      <c r="Q6" s="76">
        <v>1</v>
      </c>
      <c r="R6" s="12">
        <f t="shared" si="21"/>
        <v>20</v>
      </c>
      <c r="S6" s="99">
        <v>0</v>
      </c>
      <c r="T6" s="82">
        <v>0.97499999999999998</v>
      </c>
      <c r="U6" s="82">
        <v>0.97499999999999998</v>
      </c>
      <c r="V6" s="99">
        <v>14</v>
      </c>
      <c r="W6" s="100">
        <v>22557</v>
      </c>
      <c r="X6" s="101">
        <v>22725</v>
      </c>
      <c r="Y6" s="76">
        <v>52</v>
      </c>
      <c r="Z6" s="49">
        <f t="shared" si="22"/>
        <v>1</v>
      </c>
      <c r="AA6" s="49">
        <f t="shared" si="2"/>
        <v>1</v>
      </c>
      <c r="AB6" s="75" t="b">
        <v>0</v>
      </c>
      <c r="AC6" s="5" t="b">
        <f t="shared" si="3"/>
        <v>0</v>
      </c>
      <c r="AD6" s="27" t="str">
        <f t="shared" si="4"/>
        <v>MTS</v>
      </c>
      <c r="AE6" s="4">
        <f t="shared" si="5"/>
        <v>75289.5</v>
      </c>
      <c r="AF6" s="32">
        <f t="shared" si="6"/>
        <v>27976</v>
      </c>
      <c r="AG6" s="32">
        <f t="shared" si="7"/>
        <v>139738</v>
      </c>
      <c r="AH6" s="4">
        <f t="shared" si="8"/>
        <v>26</v>
      </c>
      <c r="AI6" s="4">
        <f t="shared" si="9"/>
        <v>89277.5</v>
      </c>
      <c r="AJ6" s="33">
        <f t="shared" si="10"/>
        <v>109695.40332757327</v>
      </c>
      <c r="AK6" s="39">
        <f t="shared" si="11"/>
        <v>26</v>
      </c>
      <c r="AL6" s="31">
        <f t="shared" si="12"/>
        <v>0</v>
      </c>
      <c r="AM6" s="34">
        <f t="shared" si="13"/>
        <v>-109695.40332757327</v>
      </c>
      <c r="AN6" s="45">
        <f t="shared" si="14"/>
        <v>644485.71428571432</v>
      </c>
      <c r="AO6" s="45">
        <f t="shared" si="15"/>
        <v>121470.23444919688</v>
      </c>
      <c r="AP6" s="45">
        <f t="shared" si="23"/>
        <v>28.150547829889074</v>
      </c>
      <c r="AQ6" s="45">
        <f t="shared" si="24"/>
        <v>22894.251230216782</v>
      </c>
      <c r="AR6" s="46">
        <f t="shared" si="16"/>
        <v>167714</v>
      </c>
      <c r="AS6" s="47">
        <f t="shared" si="17"/>
        <v>3.8471899760860379E-9</v>
      </c>
      <c r="AT6" s="48">
        <f t="shared" si="18"/>
        <v>2.8749626435881689E-5</v>
      </c>
      <c r="AU6" s="52">
        <f t="shared" si="19"/>
        <v>4.91101118777731E-3</v>
      </c>
      <c r="AV6" s="3" t="str">
        <f t="shared" si="20"/>
        <v>MTS</v>
      </c>
      <c r="AW6" s="6" t="str">
        <f t="shared" si="25"/>
        <v xml:space="preserve">Seek to negotiate longer order lead-time so item can be MTO. </v>
      </c>
    </row>
    <row r="7" spans="1:49" ht="30" x14ac:dyDescent="0.25">
      <c r="A7" s="74" t="s">
        <v>103</v>
      </c>
      <c r="B7" s="75" t="s">
        <v>8</v>
      </c>
      <c r="C7" s="74" t="s">
        <v>12</v>
      </c>
      <c r="D7" s="74" t="s">
        <v>16</v>
      </c>
      <c r="E7" s="76" t="s">
        <v>31</v>
      </c>
      <c r="F7" s="77">
        <v>10</v>
      </c>
      <c r="G7" s="78">
        <v>180</v>
      </c>
      <c r="H7" s="79">
        <v>3.83</v>
      </c>
      <c r="I7" s="80">
        <v>640</v>
      </c>
      <c r="J7" s="81">
        <v>0.04</v>
      </c>
      <c r="K7" s="82">
        <v>1E-3</v>
      </c>
      <c r="L7" s="83">
        <v>8.5000000000000006E-2</v>
      </c>
      <c r="M7" s="37">
        <f t="shared" si="0"/>
        <v>1.6375970414883985E-2</v>
      </c>
      <c r="N7" s="36">
        <f t="shared" si="1"/>
        <v>0.22233693513680605</v>
      </c>
      <c r="O7" s="76">
        <v>5</v>
      </c>
      <c r="P7" s="76">
        <v>14</v>
      </c>
      <c r="Q7" s="76">
        <v>1</v>
      </c>
      <c r="R7" s="12">
        <f t="shared" si="21"/>
        <v>20</v>
      </c>
      <c r="S7" s="99">
        <v>0</v>
      </c>
      <c r="T7" s="82">
        <v>0.97499999999999998</v>
      </c>
      <c r="U7" s="82">
        <v>0.97499999999999998</v>
      </c>
      <c r="V7" s="99">
        <v>14</v>
      </c>
      <c r="W7" s="100">
        <v>29383</v>
      </c>
      <c r="X7" s="101">
        <v>3645</v>
      </c>
      <c r="Y7" s="76">
        <v>52</v>
      </c>
      <c r="Z7" s="49">
        <f t="shared" si="22"/>
        <v>1</v>
      </c>
      <c r="AA7" s="49">
        <f t="shared" si="2"/>
        <v>1</v>
      </c>
      <c r="AB7" s="75" t="b">
        <v>1</v>
      </c>
      <c r="AC7" s="5" t="b">
        <f t="shared" si="3"/>
        <v>0</v>
      </c>
      <c r="AD7" s="27" t="str">
        <f t="shared" si="4"/>
        <v>MTS</v>
      </c>
      <c r="AE7" s="4">
        <f t="shared" si="5"/>
        <v>12080</v>
      </c>
      <c r="AF7" s="32">
        <f t="shared" si="6"/>
        <v>47920</v>
      </c>
      <c r="AG7" s="32">
        <f t="shared" si="7"/>
        <v>96031</v>
      </c>
      <c r="AH7" s="4">
        <f t="shared" si="8"/>
        <v>26</v>
      </c>
      <c r="AI7" s="4">
        <f t="shared" si="9"/>
        <v>36040</v>
      </c>
      <c r="AJ7" s="33">
        <f t="shared" si="10"/>
        <v>30689.87863512578</v>
      </c>
      <c r="AK7" s="39">
        <f t="shared" si="11"/>
        <v>26</v>
      </c>
      <c r="AL7" s="31">
        <f t="shared" si="12"/>
        <v>0</v>
      </c>
      <c r="AM7" s="34">
        <f t="shared" si="13"/>
        <v>-30689.87863512578</v>
      </c>
      <c r="AN7" s="45">
        <f t="shared" si="14"/>
        <v>839514.28571428568</v>
      </c>
      <c r="AO7" s="45">
        <f t="shared" si="15"/>
        <v>19483.344535415737</v>
      </c>
      <c r="AP7" s="45">
        <f t="shared" si="23"/>
        <v>1856.6462321983329</v>
      </c>
      <c r="AQ7" s="45">
        <f t="shared" si="24"/>
        <v>452.16706939386722</v>
      </c>
      <c r="AR7" s="46">
        <f t="shared" si="16"/>
        <v>143951</v>
      </c>
      <c r="AS7" s="47">
        <f t="shared" si="17"/>
        <v>0</v>
      </c>
      <c r="AT7" s="48">
        <f t="shared" si="18"/>
        <v>0</v>
      </c>
      <c r="AU7" s="52">
        <f t="shared" si="19"/>
        <v>0</v>
      </c>
      <c r="AV7" s="3" t="str">
        <f t="shared" si="20"/>
        <v>MTS</v>
      </c>
      <c r="AW7" s="6" t="str">
        <f t="shared" si="25"/>
        <v xml:space="preserve">Seek to negotiate longer order lead-time so item can be MTO. </v>
      </c>
    </row>
    <row r="8" spans="1:49" ht="15.75" x14ac:dyDescent="0.25">
      <c r="A8" s="74" t="s">
        <v>131</v>
      </c>
      <c r="B8" s="75" t="s">
        <v>19</v>
      </c>
      <c r="C8" s="74" t="s">
        <v>25</v>
      </c>
      <c r="D8" s="74" t="s">
        <v>17</v>
      </c>
      <c r="E8" s="76" t="s">
        <v>31</v>
      </c>
      <c r="F8" s="77">
        <v>10</v>
      </c>
      <c r="G8" s="78">
        <v>180</v>
      </c>
      <c r="H8" s="79">
        <v>4.17</v>
      </c>
      <c r="I8" s="80">
        <v>610</v>
      </c>
      <c r="J8" s="81">
        <v>3.7999999999999999E-2</v>
      </c>
      <c r="K8" s="82">
        <v>0</v>
      </c>
      <c r="L8" s="83">
        <v>8.5000000000000006E-2</v>
      </c>
      <c r="M8" s="37">
        <f t="shared" si="0"/>
        <v>1.5586251531182871E-2</v>
      </c>
      <c r="N8" s="36">
        <f t="shared" si="1"/>
        <v>0.19436093036487034</v>
      </c>
      <c r="O8" s="76">
        <v>10</v>
      </c>
      <c r="P8" s="76">
        <v>7</v>
      </c>
      <c r="Q8" s="76">
        <v>2</v>
      </c>
      <c r="R8" s="12">
        <f t="shared" ref="R8:R15" si="26">SUM(O8:Q8)</f>
        <v>19</v>
      </c>
      <c r="S8" s="99">
        <v>0.33</v>
      </c>
      <c r="T8" s="82">
        <v>0.97499999999999998</v>
      </c>
      <c r="U8" s="82">
        <v>0.99</v>
      </c>
      <c r="V8" s="99">
        <v>21</v>
      </c>
      <c r="W8" s="100">
        <v>20911.599999999999</v>
      </c>
      <c r="X8" s="101">
        <v>1040.19</v>
      </c>
      <c r="Y8" s="76">
        <v>52</v>
      </c>
      <c r="Z8" s="49">
        <f t="shared" si="22"/>
        <v>1</v>
      </c>
      <c r="AA8" s="49">
        <f t="shared" si="2"/>
        <v>1</v>
      </c>
      <c r="AB8" s="75" t="b">
        <v>0</v>
      </c>
      <c r="AC8" s="5" t="b">
        <f t="shared" si="3"/>
        <v>1</v>
      </c>
      <c r="AD8" s="27" t="str">
        <f t="shared" si="4"/>
        <v>TBD</v>
      </c>
      <c r="AE8" s="4">
        <f t="shared" si="5"/>
        <v>13940</v>
      </c>
      <c r="AF8" s="32">
        <f t="shared" si="6"/>
        <v>40460</v>
      </c>
      <c r="AG8" s="32">
        <f t="shared" si="7"/>
        <v>70700</v>
      </c>
      <c r="AH8" s="4">
        <f t="shared" si="8"/>
        <v>26.876005931784476</v>
      </c>
      <c r="AI8" s="4">
        <f t="shared" si="9"/>
        <v>34170</v>
      </c>
      <c r="AJ8" s="33">
        <f t="shared" si="10"/>
        <v>27694.275170666973</v>
      </c>
      <c r="AK8" s="39">
        <f t="shared" si="11"/>
        <v>52</v>
      </c>
      <c r="AL8" s="31">
        <f t="shared" si="12"/>
        <v>25.123994068215524</v>
      </c>
      <c r="AM8" s="34">
        <f t="shared" si="13"/>
        <v>-12368.638789055503</v>
      </c>
      <c r="AN8" s="45">
        <f t="shared" si="14"/>
        <v>594486.91428571427</v>
      </c>
      <c r="AO8" s="45">
        <f t="shared" si="15"/>
        <v>5546.1318822078929</v>
      </c>
      <c r="AP8" s="45">
        <f t="shared" si="23"/>
        <v>11489.581600734682</v>
      </c>
      <c r="AQ8" s="45">
        <f t="shared" si="24"/>
        <v>51.7413892815471</v>
      </c>
      <c r="AR8" s="46">
        <f t="shared" si="16"/>
        <v>111160</v>
      </c>
      <c r="AS8" s="47">
        <f t="shared" si="17"/>
        <v>0</v>
      </c>
      <c r="AT8" s="48">
        <f t="shared" si="18"/>
        <v>0</v>
      </c>
      <c r="AU8" s="52">
        <f t="shared" si="19"/>
        <v>0</v>
      </c>
      <c r="AV8" s="3" t="str">
        <f t="shared" si="20"/>
        <v>MTO</v>
      </c>
      <c r="AW8" s="6" t="str">
        <f t="shared" si="25"/>
        <v/>
      </c>
    </row>
    <row r="9" spans="1:49" ht="15.75" x14ac:dyDescent="0.25">
      <c r="A9" s="74" t="s">
        <v>132</v>
      </c>
      <c r="B9" s="75" t="s">
        <v>20</v>
      </c>
      <c r="C9" s="74" t="s">
        <v>25</v>
      </c>
      <c r="D9" s="74" t="s">
        <v>17</v>
      </c>
      <c r="E9" s="76" t="s">
        <v>31</v>
      </c>
      <c r="F9" s="77">
        <v>15</v>
      </c>
      <c r="G9" s="78">
        <v>120</v>
      </c>
      <c r="H9" s="79">
        <v>4.13</v>
      </c>
      <c r="I9" s="80">
        <v>820</v>
      </c>
      <c r="J9" s="81">
        <v>6.3E-2</v>
      </c>
      <c r="K9" s="82">
        <v>3.0000000000000001E-3</v>
      </c>
      <c r="L9" s="83">
        <v>8.5000000000000006E-2</v>
      </c>
      <c r="M9" s="37">
        <f t="shared" si="0"/>
        <v>2.4149992233130357E-2</v>
      </c>
      <c r="N9" s="36">
        <f t="shared" si="1"/>
        <v>0.30406769881907475</v>
      </c>
      <c r="O9" s="76">
        <v>10</v>
      </c>
      <c r="P9" s="76">
        <v>7</v>
      </c>
      <c r="Q9" s="76">
        <v>2</v>
      </c>
      <c r="R9" s="12">
        <f t="shared" si="26"/>
        <v>19</v>
      </c>
      <c r="S9" s="99">
        <v>0.33</v>
      </c>
      <c r="T9" s="82">
        <v>0.97499999999999998</v>
      </c>
      <c r="U9" s="82">
        <v>0.99</v>
      </c>
      <c r="V9" s="99">
        <v>21</v>
      </c>
      <c r="W9" s="100">
        <v>3733.6</v>
      </c>
      <c r="X9" s="101">
        <v>1572.19</v>
      </c>
      <c r="Y9" s="76">
        <v>49</v>
      </c>
      <c r="Z9" s="49">
        <f t="shared" si="22"/>
        <v>0.94230769230769229</v>
      </c>
      <c r="AA9" s="49">
        <f t="shared" si="2"/>
        <v>0.94230769230769229</v>
      </c>
      <c r="AB9" s="75" t="b">
        <v>0</v>
      </c>
      <c r="AC9" s="5" t="b">
        <f t="shared" si="3"/>
        <v>1</v>
      </c>
      <c r="AD9" s="27" t="str">
        <f t="shared" si="4"/>
        <v>TBD</v>
      </c>
      <c r="AE9" s="4">
        <f t="shared" si="5"/>
        <v>5625</v>
      </c>
      <c r="AF9" s="32">
        <f t="shared" si="6"/>
        <v>15930</v>
      </c>
      <c r="AG9" s="32">
        <f t="shared" si="7"/>
        <v>15759</v>
      </c>
      <c r="AH9" s="4">
        <f t="shared" si="8"/>
        <v>12.187520401757689</v>
      </c>
      <c r="AI9" s="4">
        <f t="shared" si="9"/>
        <v>13590</v>
      </c>
      <c r="AJ9" s="33">
        <f t="shared" si="10"/>
        <v>17066.316511308563</v>
      </c>
      <c r="AK9" s="39">
        <f t="shared" si="11"/>
        <v>49</v>
      </c>
      <c r="AL9" s="31">
        <f t="shared" si="12"/>
        <v>36.812479598242312</v>
      </c>
      <c r="AM9" s="34">
        <f t="shared" si="13"/>
        <v>13119.916759250133</v>
      </c>
      <c r="AN9" s="45">
        <f t="shared" si="14"/>
        <v>74138.628571428562</v>
      </c>
      <c r="AO9" s="45">
        <f t="shared" si="15"/>
        <v>7005.891541694441</v>
      </c>
      <c r="AP9" s="45">
        <f t="shared" si="23"/>
        <v>111.98562464748282</v>
      </c>
      <c r="AQ9" s="45">
        <f t="shared" si="24"/>
        <v>662.03701416863089</v>
      </c>
      <c r="AR9" s="46">
        <f t="shared" si="16"/>
        <v>31689</v>
      </c>
      <c r="AS9" s="47">
        <f t="shared" si="17"/>
        <v>2.1001191966910106E-15</v>
      </c>
      <c r="AT9" s="48">
        <f t="shared" si="18"/>
        <v>1.0004027077905159E-12</v>
      </c>
      <c r="AU9" s="52">
        <f t="shared" si="19"/>
        <v>5.0354729338134363E-11</v>
      </c>
      <c r="AV9" s="3" t="str">
        <f t="shared" si="20"/>
        <v>MTS</v>
      </c>
      <c r="AW9" s="6" t="str">
        <f t="shared" si="25"/>
        <v/>
      </c>
    </row>
    <row r="10" spans="1:49" ht="15.75" x14ac:dyDescent="0.25">
      <c r="A10" s="74" t="s">
        <v>133</v>
      </c>
      <c r="B10" s="75" t="s">
        <v>21</v>
      </c>
      <c r="C10" s="74" t="s">
        <v>25</v>
      </c>
      <c r="D10" s="74" t="s">
        <v>17</v>
      </c>
      <c r="E10" s="76" t="s">
        <v>31</v>
      </c>
      <c r="F10" s="77">
        <v>20</v>
      </c>
      <c r="G10" s="78">
        <v>180</v>
      </c>
      <c r="H10" s="79">
        <v>20.2</v>
      </c>
      <c r="I10" s="80">
        <v>920</v>
      </c>
      <c r="J10" s="81">
        <v>7.4999999999999997E-2</v>
      </c>
      <c r="K10" s="82">
        <v>2E-3</v>
      </c>
      <c r="L10" s="83">
        <v>8.5000000000000006E-2</v>
      </c>
      <c r="M10" s="37">
        <f t="shared" si="0"/>
        <v>5.96520486783007E-2</v>
      </c>
      <c r="N10" s="36">
        <f t="shared" si="1"/>
        <v>0.15355972927087311</v>
      </c>
      <c r="O10" s="76">
        <v>10</v>
      </c>
      <c r="P10" s="76">
        <v>7</v>
      </c>
      <c r="Q10" s="76">
        <v>2</v>
      </c>
      <c r="R10" s="12">
        <f t="shared" si="26"/>
        <v>19</v>
      </c>
      <c r="S10" s="99">
        <v>0.33</v>
      </c>
      <c r="T10" s="82">
        <v>0.97499999999999998</v>
      </c>
      <c r="U10" s="82">
        <v>0.99</v>
      </c>
      <c r="V10" s="99">
        <v>21</v>
      </c>
      <c r="W10" s="100">
        <v>15926.9</v>
      </c>
      <c r="X10" s="101">
        <v>4779.82</v>
      </c>
      <c r="Y10" s="76">
        <v>47</v>
      </c>
      <c r="Z10" s="49">
        <f t="shared" si="22"/>
        <v>0.90384615384615385</v>
      </c>
      <c r="AA10" s="49">
        <f t="shared" si="2"/>
        <v>0.90384615384615385</v>
      </c>
      <c r="AB10" s="75" t="b">
        <v>1</v>
      </c>
      <c r="AC10" s="5" t="b">
        <f t="shared" si="3"/>
        <v>1</v>
      </c>
      <c r="AD10" s="27" t="str">
        <f t="shared" si="4"/>
        <v>MTS</v>
      </c>
      <c r="AE10" s="4">
        <f t="shared" si="5"/>
        <v>18560</v>
      </c>
      <c r="AF10" s="32">
        <f t="shared" si="6"/>
        <v>22160</v>
      </c>
      <c r="AG10" s="32">
        <f t="shared" si="7"/>
        <v>61790</v>
      </c>
      <c r="AH10" s="4">
        <f t="shared" si="8"/>
        <v>37.373592057761734</v>
      </c>
      <c r="AI10" s="4">
        <f t="shared" si="9"/>
        <v>29640</v>
      </c>
      <c r="AJ10" s="33">
        <f t="shared" si="10"/>
        <v>91940.509586891305</v>
      </c>
      <c r="AK10" s="39">
        <f t="shared" si="11"/>
        <v>47</v>
      </c>
      <c r="AL10" s="31">
        <f t="shared" si="12"/>
        <v>9.6264079422382665</v>
      </c>
      <c r="AM10" s="34">
        <f t="shared" si="13"/>
        <v>-83084.214280032102</v>
      </c>
      <c r="AN10" s="45">
        <f t="shared" si="14"/>
        <v>452779.01428571431</v>
      </c>
      <c r="AO10" s="45">
        <f t="shared" si="15"/>
        <v>25485.259513372486</v>
      </c>
      <c r="AP10" s="45">
        <f t="shared" si="23"/>
        <v>315.64176173140964</v>
      </c>
      <c r="AQ10" s="45">
        <f t="shared" si="24"/>
        <v>1434.4711922847505</v>
      </c>
      <c r="AR10" s="46">
        <f t="shared" si="16"/>
        <v>83950</v>
      </c>
      <c r="AS10" s="47">
        <f t="shared" si="17"/>
        <v>1.2521570560967783E-121</v>
      </c>
      <c r="AT10" s="48">
        <f t="shared" si="18"/>
        <v>4.0653979036826601E-119</v>
      </c>
      <c r="AU10" s="52">
        <f t="shared" si="19"/>
        <v>3.0691581606552525E-116</v>
      </c>
      <c r="AV10" s="3" t="str">
        <f t="shared" si="20"/>
        <v>MTS</v>
      </c>
      <c r="AW10" s="6" t="str">
        <f t="shared" si="25"/>
        <v/>
      </c>
    </row>
    <row r="11" spans="1:49" ht="15.75" x14ac:dyDescent="0.25">
      <c r="A11" s="74" t="s">
        <v>134</v>
      </c>
      <c r="B11" s="75" t="s">
        <v>22</v>
      </c>
      <c r="C11" s="74" t="s">
        <v>25</v>
      </c>
      <c r="D11" s="74" t="s">
        <v>17</v>
      </c>
      <c r="E11" s="76" t="s">
        <v>31</v>
      </c>
      <c r="F11" s="77">
        <v>10</v>
      </c>
      <c r="G11" s="78">
        <v>120</v>
      </c>
      <c r="H11" s="79">
        <v>4.13</v>
      </c>
      <c r="I11" s="80">
        <v>320</v>
      </c>
      <c r="J11" s="81">
        <v>3.7999999999999999E-2</v>
      </c>
      <c r="K11" s="82">
        <v>2E-3</v>
      </c>
      <c r="L11" s="83">
        <v>8.5000000000000006E-2</v>
      </c>
      <c r="M11" s="37">
        <f t="shared" si="0"/>
        <v>1.7427167400450923E-2</v>
      </c>
      <c r="N11" s="36">
        <f t="shared" si="1"/>
        <v>0.21942196242698497</v>
      </c>
      <c r="O11" s="76">
        <v>10</v>
      </c>
      <c r="P11" s="76">
        <v>7</v>
      </c>
      <c r="Q11" s="76">
        <v>2</v>
      </c>
      <c r="R11" s="12">
        <f t="shared" si="26"/>
        <v>19</v>
      </c>
      <c r="S11" s="99">
        <v>0.33</v>
      </c>
      <c r="T11" s="82">
        <v>0.97499999999999998</v>
      </c>
      <c r="U11" s="82">
        <v>0.99</v>
      </c>
      <c r="V11" s="99">
        <v>21</v>
      </c>
      <c r="W11" s="100">
        <v>8380.7999999999993</v>
      </c>
      <c r="X11" s="101">
        <v>2286.4899999999998</v>
      </c>
      <c r="Y11" s="76">
        <v>51</v>
      </c>
      <c r="Z11" s="49">
        <f t="shared" si="22"/>
        <v>0.98076923076923073</v>
      </c>
      <c r="AA11" s="49">
        <f t="shared" si="2"/>
        <v>0.98076923076923073</v>
      </c>
      <c r="AB11" s="75" t="b">
        <v>0</v>
      </c>
      <c r="AC11" s="5" t="b">
        <f t="shared" si="3"/>
        <v>1</v>
      </c>
      <c r="AD11" s="27" t="str">
        <f t="shared" si="4"/>
        <v>TBD</v>
      </c>
      <c r="AE11" s="4">
        <f t="shared" si="5"/>
        <v>9160</v>
      </c>
      <c r="AF11" s="32">
        <f t="shared" si="6"/>
        <v>17540</v>
      </c>
      <c r="AG11" s="32">
        <f t="shared" si="7"/>
        <v>31908</v>
      </c>
      <c r="AH11" s="4">
        <f t="shared" si="8"/>
        <v>24.846157354618015</v>
      </c>
      <c r="AI11" s="4">
        <f t="shared" si="9"/>
        <v>17930</v>
      </c>
      <c r="AJ11" s="33">
        <f t="shared" si="10"/>
        <v>16248.393797484421</v>
      </c>
      <c r="AK11" s="39">
        <f t="shared" si="11"/>
        <v>51</v>
      </c>
      <c r="AL11" s="31">
        <f t="shared" si="12"/>
        <v>26.153842645381985</v>
      </c>
      <c r="AM11" s="34">
        <f t="shared" si="13"/>
        <v>-7879.1641509621859</v>
      </c>
      <c r="AN11" s="45">
        <f t="shared" si="14"/>
        <v>166418.74285714285</v>
      </c>
      <c r="AO11" s="45">
        <f t="shared" si="15"/>
        <v>10188.909070257998</v>
      </c>
      <c r="AP11" s="45">
        <f t="shared" si="23"/>
        <v>266.77744020626415</v>
      </c>
      <c r="AQ11" s="45">
        <f t="shared" si="24"/>
        <v>623.81115407836944</v>
      </c>
      <c r="AR11" s="46">
        <f t="shared" si="16"/>
        <v>49448</v>
      </c>
      <c r="AS11" s="47">
        <f t="shared" si="17"/>
        <v>2.3354413970466187E-61</v>
      </c>
      <c r="AT11" s="48">
        <f t="shared" si="18"/>
        <v>6.0992027147764931E-59</v>
      </c>
      <c r="AU11" s="52">
        <f t="shared" si="19"/>
        <v>6.2586742910677707E-57</v>
      </c>
      <c r="AV11" s="3" t="str">
        <f t="shared" si="20"/>
        <v>MTO</v>
      </c>
      <c r="AW11" s="6" t="str">
        <f t="shared" si="25"/>
        <v/>
      </c>
    </row>
    <row r="12" spans="1:49" ht="15.75" x14ac:dyDescent="0.25">
      <c r="A12" s="74" t="s">
        <v>135</v>
      </c>
      <c r="B12" s="75" t="s">
        <v>23</v>
      </c>
      <c r="C12" s="74" t="s">
        <v>25</v>
      </c>
      <c r="D12" s="74" t="s">
        <v>17</v>
      </c>
      <c r="E12" s="76" t="s">
        <v>31</v>
      </c>
      <c r="F12" s="77">
        <v>15</v>
      </c>
      <c r="G12" s="78">
        <v>120</v>
      </c>
      <c r="H12" s="79">
        <v>4.68</v>
      </c>
      <c r="I12" s="80">
        <v>550</v>
      </c>
      <c r="J12" s="81">
        <v>6.3E-2</v>
      </c>
      <c r="K12" s="82">
        <v>2.7E-2</v>
      </c>
      <c r="L12" s="83">
        <v>8.5000000000000006E-2</v>
      </c>
      <c r="M12" s="37">
        <f t="shared" si="0"/>
        <v>5.135182321717055E-2</v>
      </c>
      <c r="N12" s="36">
        <f t="shared" si="1"/>
        <v>0.57057581352411724</v>
      </c>
      <c r="O12" s="76">
        <v>10</v>
      </c>
      <c r="P12" s="76">
        <v>7</v>
      </c>
      <c r="Q12" s="76">
        <v>2</v>
      </c>
      <c r="R12" s="12">
        <f t="shared" si="26"/>
        <v>19</v>
      </c>
      <c r="S12" s="99">
        <v>0.33</v>
      </c>
      <c r="T12" s="82">
        <v>0.97499999999999998</v>
      </c>
      <c r="U12" s="82">
        <v>0.99</v>
      </c>
      <c r="V12" s="99">
        <v>21</v>
      </c>
      <c r="W12" s="100">
        <v>1359.3</v>
      </c>
      <c r="X12" s="101">
        <v>3185.55</v>
      </c>
      <c r="Y12" s="76">
        <v>12</v>
      </c>
      <c r="Z12" s="49">
        <f t="shared" si="22"/>
        <v>0.23076923076923078</v>
      </c>
      <c r="AA12" s="49">
        <f t="shared" si="2"/>
        <v>0.23076923076923084</v>
      </c>
      <c r="AB12" s="75" t="b">
        <v>0</v>
      </c>
      <c r="AC12" s="5" t="b">
        <f t="shared" si="3"/>
        <v>1</v>
      </c>
      <c r="AD12" s="27" t="str">
        <f t="shared" si="4"/>
        <v>TBD</v>
      </c>
      <c r="AE12" s="4">
        <f t="shared" si="5"/>
        <v>10320</v>
      </c>
      <c r="AF12" s="32">
        <f t="shared" si="6"/>
        <v>5400</v>
      </c>
      <c r="AG12" s="32">
        <f t="shared" si="7"/>
        <v>14010</v>
      </c>
      <c r="AH12" s="4">
        <f t="shared" si="8"/>
        <v>13.089555555555554</v>
      </c>
      <c r="AI12" s="4">
        <f t="shared" si="9"/>
        <v>13020</v>
      </c>
      <c r="AJ12" s="33">
        <f t="shared" si="10"/>
        <v>34767.238390953149</v>
      </c>
      <c r="AK12" s="39">
        <f t="shared" si="11"/>
        <v>12.000000000000004</v>
      </c>
      <c r="AL12" s="31">
        <f t="shared" si="12"/>
        <v>0</v>
      </c>
      <c r="AM12" s="34">
        <f t="shared" si="13"/>
        <v>-34767.238390953149</v>
      </c>
      <c r="AN12" s="45">
        <f t="shared" si="14"/>
        <v>26991.814285714285</v>
      </c>
      <c r="AO12" s="45">
        <f t="shared" si="15"/>
        <v>14195.242178518327</v>
      </c>
      <c r="AP12" s="45">
        <f t="shared" si="23"/>
        <v>3.6155847158166527</v>
      </c>
      <c r="AQ12" s="45">
        <f t="shared" si="24"/>
        <v>7465.4077852571181</v>
      </c>
      <c r="AR12" s="46">
        <f t="shared" si="16"/>
        <v>19410</v>
      </c>
      <c r="AS12" s="47">
        <f t="shared" si="17"/>
        <v>0.33954458085531392</v>
      </c>
      <c r="AT12" s="48">
        <f t="shared" si="18"/>
        <v>2063.9383032879423</v>
      </c>
      <c r="AU12" s="52">
        <f t="shared" si="19"/>
        <v>126435.04419371243</v>
      </c>
      <c r="AV12" s="3" t="str">
        <f t="shared" si="20"/>
        <v>MTO</v>
      </c>
      <c r="AW12" s="6" t="str">
        <f t="shared" si="25"/>
        <v/>
      </c>
    </row>
    <row r="13" spans="1:49" ht="15.75" x14ac:dyDescent="0.25">
      <c r="A13" s="74" t="s">
        <v>136</v>
      </c>
      <c r="B13" s="75" t="s">
        <v>24</v>
      </c>
      <c r="C13" s="74" t="s">
        <v>25</v>
      </c>
      <c r="D13" s="74" t="s">
        <v>17</v>
      </c>
      <c r="E13" s="76" t="s">
        <v>31</v>
      </c>
      <c r="F13" s="77">
        <v>5</v>
      </c>
      <c r="G13" s="78">
        <v>120</v>
      </c>
      <c r="H13" s="79">
        <v>2.2000000000000002</v>
      </c>
      <c r="I13" s="80">
        <v>440</v>
      </c>
      <c r="J13" s="81">
        <v>1.6E-2</v>
      </c>
      <c r="K13" s="82">
        <v>2.3E-2</v>
      </c>
      <c r="L13" s="83">
        <v>8.5000000000000006E-2</v>
      </c>
      <c r="M13" s="37">
        <f t="shared" si="0"/>
        <v>1.8966566954854516E-2</v>
      </c>
      <c r="N13" s="36">
        <f t="shared" si="1"/>
        <v>0.44830067347837943</v>
      </c>
      <c r="O13" s="76">
        <v>10</v>
      </c>
      <c r="P13" s="76">
        <v>7</v>
      </c>
      <c r="Q13" s="76">
        <v>2</v>
      </c>
      <c r="R13" s="12">
        <f t="shared" si="26"/>
        <v>19</v>
      </c>
      <c r="S13" s="99">
        <v>0.33</v>
      </c>
      <c r="T13" s="82">
        <v>0.97499999999999998</v>
      </c>
      <c r="U13" s="82">
        <v>0.99</v>
      </c>
      <c r="V13" s="99">
        <v>21</v>
      </c>
      <c r="W13" s="100">
        <v>1407.1</v>
      </c>
      <c r="X13" s="101">
        <v>3277.6</v>
      </c>
      <c r="Y13" s="76">
        <v>15</v>
      </c>
      <c r="Z13" s="49">
        <f t="shared" si="22"/>
        <v>0.28846153846153844</v>
      </c>
      <c r="AA13" s="49">
        <f t="shared" si="2"/>
        <v>0.28846153846153844</v>
      </c>
      <c r="AB13" s="75" t="b">
        <v>0</v>
      </c>
      <c r="AC13" s="5" t="b">
        <f t="shared" si="3"/>
        <v>1</v>
      </c>
      <c r="AD13" s="27" t="str">
        <f t="shared" si="4"/>
        <v>TBD</v>
      </c>
      <c r="AE13" s="4">
        <f t="shared" si="5"/>
        <v>10625</v>
      </c>
      <c r="AF13" s="32">
        <f t="shared" si="6"/>
        <v>8080</v>
      </c>
      <c r="AG13" s="32">
        <f t="shared" si="7"/>
        <v>14444</v>
      </c>
      <c r="AH13" s="4">
        <f t="shared" si="8"/>
        <v>9.0555940594059408</v>
      </c>
      <c r="AI13" s="4">
        <f t="shared" si="9"/>
        <v>14665</v>
      </c>
      <c r="AJ13" s="33">
        <f t="shared" si="10"/>
        <v>14463.524628432957</v>
      </c>
      <c r="AK13" s="39">
        <f t="shared" si="11"/>
        <v>14.999999999999998</v>
      </c>
      <c r="AL13" s="31">
        <f t="shared" si="12"/>
        <v>5.9444059405940575</v>
      </c>
      <c r="AM13" s="34">
        <f t="shared" si="13"/>
        <v>-11847.986014571572</v>
      </c>
      <c r="AN13" s="45">
        <f t="shared" si="14"/>
        <v>27940.985714285714</v>
      </c>
      <c r="AO13" s="45">
        <f t="shared" si="15"/>
        <v>14605.429443679008</v>
      </c>
      <c r="AP13" s="45">
        <f t="shared" si="23"/>
        <v>3.6597783563252979</v>
      </c>
      <c r="AQ13" s="45">
        <f t="shared" si="24"/>
        <v>7634.611441972851</v>
      </c>
      <c r="AR13" s="46">
        <f t="shared" si="16"/>
        <v>22524</v>
      </c>
      <c r="AS13" s="47">
        <f t="shared" si="17"/>
        <v>0.4129848938451442</v>
      </c>
      <c r="AT13" s="48">
        <f t="shared" si="18"/>
        <v>3025.0163703792614</v>
      </c>
      <c r="AU13" s="52">
        <f t="shared" si="19"/>
        <v>60265.304601066753</v>
      </c>
      <c r="AV13" s="3" t="str">
        <f t="shared" si="20"/>
        <v>MTO</v>
      </c>
      <c r="AW13" s="6" t="str">
        <f t="shared" si="25"/>
        <v/>
      </c>
    </row>
    <row r="14" spans="1:49" ht="45" x14ac:dyDescent="0.25">
      <c r="A14" s="74" t="s">
        <v>137</v>
      </c>
      <c r="B14" s="75" t="s">
        <v>27</v>
      </c>
      <c r="C14" s="74" t="s">
        <v>25</v>
      </c>
      <c r="D14" s="74" t="s">
        <v>17</v>
      </c>
      <c r="E14" s="76" t="s">
        <v>31</v>
      </c>
      <c r="F14" s="77">
        <v>10</v>
      </c>
      <c r="G14" s="78">
        <v>120</v>
      </c>
      <c r="H14" s="79">
        <v>7.32</v>
      </c>
      <c r="I14" s="80">
        <v>660</v>
      </c>
      <c r="J14" s="81">
        <v>3.7999999999999999E-2</v>
      </c>
      <c r="K14" s="82">
        <v>8.7999999999999995E-2</v>
      </c>
      <c r="L14" s="83">
        <v>8.5000000000000006E-2</v>
      </c>
      <c r="M14" s="37">
        <f t="shared" si="0"/>
        <v>0.16939903335759557</v>
      </c>
      <c r="N14" s="36">
        <f t="shared" si="1"/>
        <v>1.2033811112834658</v>
      </c>
      <c r="O14" s="76">
        <v>10</v>
      </c>
      <c r="P14" s="76">
        <v>7</v>
      </c>
      <c r="Q14" s="76">
        <v>2</v>
      </c>
      <c r="R14" s="12">
        <f t="shared" si="26"/>
        <v>19</v>
      </c>
      <c r="S14" s="99">
        <v>0.33</v>
      </c>
      <c r="T14" s="82">
        <v>0.97499999999999998</v>
      </c>
      <c r="U14" s="82">
        <v>0.97499999999999998</v>
      </c>
      <c r="V14" s="99">
        <v>14</v>
      </c>
      <c r="W14" s="100">
        <v>1805</v>
      </c>
      <c r="X14" s="101">
        <v>3779.95</v>
      </c>
      <c r="Y14" s="76">
        <v>22</v>
      </c>
      <c r="Z14" s="49">
        <f t="shared" si="22"/>
        <v>0.42307692307692307</v>
      </c>
      <c r="AA14" s="49">
        <f t="shared" si="2"/>
        <v>0.42307692307692313</v>
      </c>
      <c r="AB14" s="75" t="b">
        <v>0</v>
      </c>
      <c r="AC14" s="5" t="b">
        <f t="shared" si="3"/>
        <v>0</v>
      </c>
      <c r="AD14" s="27" t="str">
        <f t="shared" si="4"/>
        <v>MTS</v>
      </c>
      <c r="AE14" s="4">
        <f t="shared" si="5"/>
        <v>12260</v>
      </c>
      <c r="AF14" s="32">
        <f t="shared" si="6"/>
        <v>3750</v>
      </c>
      <c r="AG14" s="32">
        <f t="shared" si="7"/>
        <v>17159</v>
      </c>
      <c r="AH14" s="4">
        <f t="shared" si="8"/>
        <v>25.02933333333333</v>
      </c>
      <c r="AI14" s="4">
        <f t="shared" si="9"/>
        <v>14135</v>
      </c>
      <c r="AJ14" s="33">
        <f t="shared" si="10"/>
        <v>124511.67749849991</v>
      </c>
      <c r="AK14" s="39">
        <f t="shared" si="11"/>
        <v>22.000000000000004</v>
      </c>
      <c r="AL14" s="31">
        <f t="shared" si="12"/>
        <v>0</v>
      </c>
      <c r="AM14" s="34">
        <f t="shared" si="13"/>
        <v>-124511.67749849991</v>
      </c>
      <c r="AN14" s="45">
        <f t="shared" si="14"/>
        <v>35842.142857142855</v>
      </c>
      <c r="AO14" s="45">
        <f t="shared" si="15"/>
        <v>16843.969070549934</v>
      </c>
      <c r="AP14" s="45">
        <f t="shared" si="23"/>
        <v>4.5279233084763622</v>
      </c>
      <c r="AQ14" s="45">
        <f t="shared" si="24"/>
        <v>7915.8016634349024</v>
      </c>
      <c r="AR14" s="46">
        <f t="shared" si="16"/>
        <v>20909</v>
      </c>
      <c r="AS14" s="47">
        <f t="shared" si="17"/>
        <v>0.18701964424756379</v>
      </c>
      <c r="AT14" s="48">
        <f t="shared" si="18"/>
        <v>999.14599622797505</v>
      </c>
      <c r="AU14" s="52">
        <f t="shared" si="19"/>
        <v>183058.25393802949</v>
      </c>
      <c r="AV14" s="3" t="str">
        <f t="shared" si="20"/>
        <v>MTS</v>
      </c>
      <c r="AW14" s="6" t="str">
        <f t="shared" si="25"/>
        <v xml:space="preserve">Seek to negotiate longer order lead-time so item can be MTO. Re-evaluate ELS to include risk of obsolescence. </v>
      </c>
    </row>
    <row r="15" spans="1:49" ht="15.75" x14ac:dyDescent="0.25">
      <c r="A15" s="74" t="s">
        <v>79</v>
      </c>
      <c r="B15" s="75" t="s">
        <v>109</v>
      </c>
      <c r="C15" s="74" t="s">
        <v>88</v>
      </c>
      <c r="D15" s="74" t="s">
        <v>18</v>
      </c>
      <c r="E15" s="76" t="s">
        <v>58</v>
      </c>
      <c r="F15" s="77">
        <v>1</v>
      </c>
      <c r="G15" s="78">
        <v>180</v>
      </c>
      <c r="H15" s="79">
        <v>17.37</v>
      </c>
      <c r="I15" s="80">
        <v>150</v>
      </c>
      <c r="J15" s="81">
        <v>2.8000000000000001E-2</v>
      </c>
      <c r="K15" s="82">
        <v>8.0000000000000002E-3</v>
      </c>
      <c r="L15" s="83">
        <v>8.5000000000000006E-2</v>
      </c>
      <c r="M15" s="37">
        <f t="shared" si="0"/>
        <v>6.6925464014983393E-2</v>
      </c>
      <c r="N15" s="36">
        <f t="shared" si="1"/>
        <v>0.20035256930219553</v>
      </c>
      <c r="O15" s="76">
        <v>3</v>
      </c>
      <c r="P15" s="76">
        <v>7</v>
      </c>
      <c r="Q15" s="76">
        <v>0</v>
      </c>
      <c r="R15" s="12">
        <f t="shared" si="26"/>
        <v>10</v>
      </c>
      <c r="S15" s="99">
        <v>0</v>
      </c>
      <c r="T15" s="82">
        <v>0.98499999999999999</v>
      </c>
      <c r="U15" s="82">
        <v>0.97499999999999998</v>
      </c>
      <c r="V15" s="99">
        <v>14</v>
      </c>
      <c r="W15" s="100">
        <v>51.4</v>
      </c>
      <c r="X15" s="101">
        <v>43.064867818637111</v>
      </c>
      <c r="Y15" s="76">
        <v>49</v>
      </c>
      <c r="Z15" s="49">
        <f t="shared" si="22"/>
        <v>0.94230769230769229</v>
      </c>
      <c r="AA15" s="49">
        <f t="shared" si="2"/>
        <v>0.94230769230769229</v>
      </c>
      <c r="AB15" s="75" t="b">
        <v>0</v>
      </c>
      <c r="AC15" s="5" t="b">
        <f t="shared" si="3"/>
        <v>1</v>
      </c>
      <c r="AD15" s="27" t="str">
        <f t="shared" si="4"/>
        <v>TBD</v>
      </c>
      <c r="AE15" s="4">
        <f t="shared" si="5"/>
        <v>112</v>
      </c>
      <c r="AF15" s="32">
        <f t="shared" si="6"/>
        <v>480</v>
      </c>
      <c r="AG15" s="32">
        <f t="shared" si="7"/>
        <v>185</v>
      </c>
      <c r="AH15" s="4">
        <f t="shared" si="8"/>
        <v>5.5683333333333334</v>
      </c>
      <c r="AI15" s="4">
        <f t="shared" si="9"/>
        <v>352</v>
      </c>
      <c r="AJ15" s="33">
        <f t="shared" si="10"/>
        <v>1225.0036933302558</v>
      </c>
      <c r="AK15" s="39">
        <f t="shared" si="11"/>
        <v>49</v>
      </c>
      <c r="AL15" s="31">
        <f t="shared" si="12"/>
        <v>43.431666666666665</v>
      </c>
      <c r="AM15" s="34">
        <f t="shared" si="13"/>
        <v>5289.7463066697437</v>
      </c>
      <c r="AN15" s="45">
        <f t="shared" si="14"/>
        <v>1395.1428571428571</v>
      </c>
      <c r="AO15" s="45">
        <f t="shared" si="15"/>
        <v>224.36282466607216</v>
      </c>
      <c r="AP15" s="45">
        <f t="shared" si="23"/>
        <v>38.666562259354784</v>
      </c>
      <c r="AQ15" s="45">
        <f t="shared" si="24"/>
        <v>36.081378214721525</v>
      </c>
      <c r="AR15" s="46">
        <f t="shared" si="16"/>
        <v>665</v>
      </c>
      <c r="AS15" s="47">
        <f t="shared" si="17"/>
        <v>2.6065592846339327E-5</v>
      </c>
      <c r="AT15" s="48">
        <f t="shared" si="18"/>
        <v>7.619630198472116E-4</v>
      </c>
      <c r="AU15" s="52">
        <f t="shared" si="19"/>
        <v>7.3698549107511016E-2</v>
      </c>
      <c r="AV15" s="3" t="str">
        <f t="shared" si="20"/>
        <v>MTS</v>
      </c>
      <c r="AW15" s="6" t="str">
        <f t="shared" si="25"/>
        <v/>
      </c>
    </row>
    <row r="16" spans="1:49" ht="15.75" x14ac:dyDescent="0.25">
      <c r="A16" s="84" t="s">
        <v>80</v>
      </c>
      <c r="B16" s="75" t="s">
        <v>110</v>
      </c>
      <c r="C16" s="74" t="s">
        <v>88</v>
      </c>
      <c r="D16" s="74" t="s">
        <v>18</v>
      </c>
      <c r="E16" s="76" t="s">
        <v>58</v>
      </c>
      <c r="F16" s="77">
        <v>1</v>
      </c>
      <c r="G16" s="78">
        <v>180</v>
      </c>
      <c r="H16" s="79">
        <v>26.84</v>
      </c>
      <c r="I16" s="80">
        <v>150</v>
      </c>
      <c r="J16" s="81">
        <v>2.8000000000000001E-2</v>
      </c>
      <c r="K16" s="82">
        <v>7.0000000000000001E-3</v>
      </c>
      <c r="L16" s="83">
        <v>8.5000000000000006E-2</v>
      </c>
      <c r="M16" s="37">
        <f t="shared" si="0"/>
        <v>9.3695370945694051E-2</v>
      </c>
      <c r="N16" s="36">
        <f t="shared" si="1"/>
        <v>0.18152605399314795</v>
      </c>
      <c r="O16" s="76">
        <v>3</v>
      </c>
      <c r="P16" s="76">
        <v>7</v>
      </c>
      <c r="Q16" s="76">
        <v>0</v>
      </c>
      <c r="R16" s="12">
        <f t="shared" ref="R16:R33" si="27">SUM(O16:Q16)</f>
        <v>10</v>
      </c>
      <c r="S16" s="99">
        <v>0</v>
      </c>
      <c r="T16" s="82">
        <v>0.98499999999999999</v>
      </c>
      <c r="U16" s="82">
        <v>0.97499999999999998</v>
      </c>
      <c r="V16" s="99">
        <v>14</v>
      </c>
      <c r="W16" s="100">
        <v>11</v>
      </c>
      <c r="X16" s="101">
        <v>10.101408888786828</v>
      </c>
      <c r="Y16" s="76">
        <v>44</v>
      </c>
      <c r="Z16" s="49">
        <f t="shared" si="22"/>
        <v>0.84615384615384615</v>
      </c>
      <c r="AA16" s="49">
        <f t="shared" si="2"/>
        <v>0.84615384615384615</v>
      </c>
      <c r="AB16" s="75" t="b">
        <v>0</v>
      </c>
      <c r="AC16" s="5" t="b">
        <f t="shared" si="3"/>
        <v>1</v>
      </c>
      <c r="AD16" s="27" t="str">
        <f t="shared" si="4"/>
        <v>TBD</v>
      </c>
      <c r="AE16" s="4">
        <f t="shared" si="5"/>
        <v>26</v>
      </c>
      <c r="AF16" s="32">
        <f t="shared" si="6"/>
        <v>188</v>
      </c>
      <c r="AG16" s="32">
        <f t="shared" si="7"/>
        <v>42</v>
      </c>
      <c r="AH16" s="4">
        <f t="shared" si="8"/>
        <v>3.042553191489362</v>
      </c>
      <c r="AI16" s="4">
        <f t="shared" si="9"/>
        <v>120</v>
      </c>
      <c r="AJ16" s="33">
        <f t="shared" si="10"/>
        <v>584.65911470113087</v>
      </c>
      <c r="AK16" s="39">
        <f t="shared" si="11"/>
        <v>44</v>
      </c>
      <c r="AL16" s="31">
        <f t="shared" si="12"/>
        <v>40.957446808510639</v>
      </c>
      <c r="AM16" s="34">
        <f t="shared" si="13"/>
        <v>5558.9579065754642</v>
      </c>
      <c r="AN16" s="45">
        <f t="shared" si="14"/>
        <v>298.57142857142856</v>
      </c>
      <c r="AO16" s="45">
        <f t="shared" si="15"/>
        <v>52.627135439955168</v>
      </c>
      <c r="AP16" s="45">
        <f t="shared" si="23"/>
        <v>32.186742770987017</v>
      </c>
      <c r="AQ16" s="45">
        <f t="shared" si="24"/>
        <v>9.2762237762237767</v>
      </c>
      <c r="AR16" s="46">
        <f t="shared" si="16"/>
        <v>230</v>
      </c>
      <c r="AS16" s="47">
        <f t="shared" si="17"/>
        <v>8.7126710064604748E-2</v>
      </c>
      <c r="AT16" s="48">
        <f t="shared" si="18"/>
        <v>1.680847866966765</v>
      </c>
      <c r="AU16" s="52">
        <f t="shared" si="19"/>
        <v>137.26161308856342</v>
      </c>
      <c r="AV16" s="3" t="str">
        <f t="shared" si="20"/>
        <v>MTS</v>
      </c>
      <c r="AW16" s="6" t="str">
        <f t="shared" si="25"/>
        <v/>
      </c>
    </row>
    <row r="17" spans="1:49" ht="15.75" x14ac:dyDescent="0.25">
      <c r="A17" s="84" t="s">
        <v>81</v>
      </c>
      <c r="B17" s="75" t="s">
        <v>111</v>
      </c>
      <c r="C17" s="74" t="s">
        <v>88</v>
      </c>
      <c r="D17" s="74" t="s">
        <v>18</v>
      </c>
      <c r="E17" s="76" t="s">
        <v>58</v>
      </c>
      <c r="F17" s="77">
        <v>1</v>
      </c>
      <c r="G17" s="78">
        <v>180</v>
      </c>
      <c r="H17" s="79">
        <v>28.28</v>
      </c>
      <c r="I17" s="80">
        <v>150</v>
      </c>
      <c r="J17" s="81">
        <v>2.8000000000000001E-2</v>
      </c>
      <c r="K17" s="82">
        <v>3.0000000000000001E-3</v>
      </c>
      <c r="L17" s="83">
        <v>8.5000000000000006E-2</v>
      </c>
      <c r="M17" s="37">
        <f t="shared" si="0"/>
        <v>7.2268926307940851E-2</v>
      </c>
      <c r="N17" s="36">
        <f t="shared" si="1"/>
        <v>0.13288487157047113</v>
      </c>
      <c r="O17" s="76">
        <v>3</v>
      </c>
      <c r="P17" s="76">
        <v>7</v>
      </c>
      <c r="Q17" s="76">
        <v>0</v>
      </c>
      <c r="R17" s="12">
        <f t="shared" si="27"/>
        <v>10</v>
      </c>
      <c r="S17" s="99">
        <v>0</v>
      </c>
      <c r="T17" s="82">
        <v>0.98499999999999999</v>
      </c>
      <c r="U17" s="82">
        <v>0.97499999999999998</v>
      </c>
      <c r="V17" s="99">
        <v>14</v>
      </c>
      <c r="W17" s="100">
        <v>19.399999999999999</v>
      </c>
      <c r="X17" s="101">
        <v>17.236209220243982</v>
      </c>
      <c r="Y17" s="76">
        <v>47</v>
      </c>
      <c r="Z17" s="49">
        <f t="shared" si="22"/>
        <v>0.90384615384615385</v>
      </c>
      <c r="AA17" s="49">
        <f t="shared" si="2"/>
        <v>0.90384615384615385</v>
      </c>
      <c r="AB17" s="75" t="b">
        <v>0</v>
      </c>
      <c r="AC17" s="5" t="b">
        <f t="shared" si="3"/>
        <v>1</v>
      </c>
      <c r="AD17" s="27" t="str">
        <f t="shared" si="4"/>
        <v>TBD</v>
      </c>
      <c r="AE17" s="4">
        <f t="shared" si="5"/>
        <v>45</v>
      </c>
      <c r="AF17" s="32">
        <f t="shared" si="6"/>
        <v>284</v>
      </c>
      <c r="AG17" s="32">
        <f t="shared" si="7"/>
        <v>73</v>
      </c>
      <c r="AH17" s="4">
        <f t="shared" si="8"/>
        <v>3.5521126760563377</v>
      </c>
      <c r="AI17" s="4">
        <f t="shared" si="9"/>
        <v>187</v>
      </c>
      <c r="AJ17" s="33">
        <f t="shared" si="10"/>
        <v>702.74303941841686</v>
      </c>
      <c r="AK17" s="39">
        <f t="shared" si="11"/>
        <v>47</v>
      </c>
      <c r="AL17" s="31">
        <f t="shared" si="12"/>
        <v>43.447887323943661</v>
      </c>
      <c r="AM17" s="34">
        <f t="shared" si="13"/>
        <v>5814.4400591731328</v>
      </c>
      <c r="AN17" s="45">
        <f t="shared" si="14"/>
        <v>526.57142857142856</v>
      </c>
      <c r="AO17" s="45">
        <f t="shared" si="15"/>
        <v>89.798594145823671</v>
      </c>
      <c r="AP17" s="45">
        <f t="shared" si="23"/>
        <v>34.385512890118385</v>
      </c>
      <c r="AQ17" s="45">
        <f t="shared" si="24"/>
        <v>15.313758158970291</v>
      </c>
      <c r="AR17" s="46">
        <f t="shared" si="16"/>
        <v>357</v>
      </c>
      <c r="AS17" s="47">
        <f t="shared" si="17"/>
        <v>1.8675902679957758E-2</v>
      </c>
      <c r="AT17" s="48">
        <f t="shared" si="18"/>
        <v>0.44913831720706376</v>
      </c>
      <c r="AU17" s="52">
        <f t="shared" si="19"/>
        <v>45.117626650666132</v>
      </c>
      <c r="AV17" s="3" t="str">
        <f t="shared" si="20"/>
        <v>MTS</v>
      </c>
      <c r="AW17" s="6" t="str">
        <f t="shared" si="25"/>
        <v/>
      </c>
    </row>
    <row r="18" spans="1:49" ht="15.75" x14ac:dyDescent="0.25">
      <c r="A18" s="84" t="s">
        <v>82</v>
      </c>
      <c r="B18" s="75" t="s">
        <v>112</v>
      </c>
      <c r="C18" s="74" t="s">
        <v>89</v>
      </c>
      <c r="D18" s="74" t="s">
        <v>18</v>
      </c>
      <c r="E18" s="76" t="s">
        <v>58</v>
      </c>
      <c r="F18" s="77">
        <v>1</v>
      </c>
      <c r="G18" s="78">
        <v>180</v>
      </c>
      <c r="H18" s="79">
        <v>19.13</v>
      </c>
      <c r="I18" s="80">
        <v>150</v>
      </c>
      <c r="J18" s="81">
        <v>2.8000000000000001E-2</v>
      </c>
      <c r="K18" s="82">
        <v>8.0000000000000002E-3</v>
      </c>
      <c r="L18" s="83">
        <v>8.5000000000000006E-2</v>
      </c>
      <c r="M18" s="37">
        <f t="shared" si="0"/>
        <v>7.3051867821193328E-2</v>
      </c>
      <c r="N18" s="36">
        <f t="shared" si="1"/>
        <v>0.19857277191333264</v>
      </c>
      <c r="O18" s="76">
        <v>3</v>
      </c>
      <c r="P18" s="76">
        <v>7</v>
      </c>
      <c r="Q18" s="76">
        <v>0</v>
      </c>
      <c r="R18" s="12">
        <f t="shared" si="27"/>
        <v>10</v>
      </c>
      <c r="S18" s="99">
        <v>0</v>
      </c>
      <c r="T18" s="82">
        <v>0.98499999999999999</v>
      </c>
      <c r="U18" s="82">
        <v>0.97499999999999998</v>
      </c>
      <c r="V18" s="99">
        <v>14</v>
      </c>
      <c r="W18" s="100">
        <v>133.30000000000001</v>
      </c>
      <c r="X18" s="101">
        <v>98.407294252662879</v>
      </c>
      <c r="Y18" s="76">
        <v>52</v>
      </c>
      <c r="Z18" s="49">
        <f t="shared" si="22"/>
        <v>1</v>
      </c>
      <c r="AA18" s="49">
        <f t="shared" si="2"/>
        <v>1</v>
      </c>
      <c r="AB18" s="75" t="b">
        <v>0</v>
      </c>
      <c r="AC18" s="5" t="b">
        <f t="shared" si="3"/>
        <v>1</v>
      </c>
      <c r="AD18" s="27" t="str">
        <f t="shared" si="4"/>
        <v>TBD</v>
      </c>
      <c r="AE18" s="4">
        <f t="shared" si="5"/>
        <v>255</v>
      </c>
      <c r="AF18" s="32">
        <f t="shared" si="6"/>
        <v>740</v>
      </c>
      <c r="AG18" s="32">
        <f t="shared" si="7"/>
        <v>445</v>
      </c>
      <c r="AH18" s="4">
        <f t="shared" si="8"/>
        <v>9.3670270270270279</v>
      </c>
      <c r="AI18" s="4">
        <f t="shared" si="9"/>
        <v>625</v>
      </c>
      <c r="AJ18" s="33">
        <f t="shared" si="10"/>
        <v>2374.1857041887833</v>
      </c>
      <c r="AK18" s="39">
        <f t="shared" si="11"/>
        <v>52</v>
      </c>
      <c r="AL18" s="31">
        <f t="shared" si="12"/>
        <v>42.632972972972972</v>
      </c>
      <c r="AM18" s="34">
        <f t="shared" si="13"/>
        <v>4020.7602417571625</v>
      </c>
      <c r="AN18" s="45">
        <f t="shared" si="14"/>
        <v>3618.1428571428578</v>
      </c>
      <c r="AO18" s="45">
        <f t="shared" si="15"/>
        <v>512.69026528203358</v>
      </c>
      <c r="AP18" s="45">
        <f t="shared" si="23"/>
        <v>49.80366211062703</v>
      </c>
      <c r="AQ18" s="45">
        <f t="shared" si="24"/>
        <v>72.648128748163359</v>
      </c>
      <c r="AR18" s="46">
        <f t="shared" si="16"/>
        <v>1185</v>
      </c>
      <c r="AS18" s="47">
        <f t="shared" si="17"/>
        <v>2.0902793124837749E-11</v>
      </c>
      <c r="AT18" s="48">
        <f t="shared" si="18"/>
        <v>7.0012237119890014E-10</v>
      </c>
      <c r="AU18" s="52">
        <f t="shared" si="19"/>
        <v>1.254557867642026E-7</v>
      </c>
      <c r="AV18" s="3" t="str">
        <f t="shared" si="20"/>
        <v>MTS</v>
      </c>
      <c r="AW18" s="6" t="str">
        <f t="shared" si="25"/>
        <v/>
      </c>
    </row>
    <row r="19" spans="1:49" ht="15.75" x14ac:dyDescent="0.25">
      <c r="A19" s="84" t="s">
        <v>83</v>
      </c>
      <c r="B19" s="75" t="s">
        <v>113</v>
      </c>
      <c r="C19" s="74" t="s">
        <v>89</v>
      </c>
      <c r="D19" s="74" t="s">
        <v>18</v>
      </c>
      <c r="E19" s="76" t="s">
        <v>58</v>
      </c>
      <c r="F19" s="77">
        <v>1</v>
      </c>
      <c r="G19" s="78">
        <v>180</v>
      </c>
      <c r="H19" s="79">
        <v>18.98</v>
      </c>
      <c r="I19" s="80">
        <v>150</v>
      </c>
      <c r="J19" s="81">
        <v>2.8000000000000001E-2</v>
      </c>
      <c r="K19" s="82">
        <v>8.0000000000000002E-3</v>
      </c>
      <c r="L19" s="83">
        <v>8.5000000000000006E-2</v>
      </c>
      <c r="M19" s="37">
        <f t="shared" si="0"/>
        <v>7.2529731133164091E-2</v>
      </c>
      <c r="N19" s="36">
        <f t="shared" si="1"/>
        <v>0.19871159214565504</v>
      </c>
      <c r="O19" s="76">
        <v>3</v>
      </c>
      <c r="P19" s="76">
        <v>7</v>
      </c>
      <c r="Q19" s="76">
        <v>0</v>
      </c>
      <c r="R19" s="12">
        <f t="shared" si="27"/>
        <v>10</v>
      </c>
      <c r="S19" s="99">
        <v>0</v>
      </c>
      <c r="T19" s="82">
        <v>0.98499999999999999</v>
      </c>
      <c r="U19" s="82">
        <v>0.97499999999999998</v>
      </c>
      <c r="V19" s="99">
        <v>14</v>
      </c>
      <c r="W19" s="100">
        <v>44.2</v>
      </c>
      <c r="X19" s="101">
        <v>39.845239631626953</v>
      </c>
      <c r="Y19" s="76">
        <v>41</v>
      </c>
      <c r="Z19" s="49">
        <f t="shared" si="22"/>
        <v>0.78846153846153844</v>
      </c>
      <c r="AA19" s="49">
        <f t="shared" si="2"/>
        <v>0.78846153846153844</v>
      </c>
      <c r="AB19" s="75" t="b">
        <v>0</v>
      </c>
      <c r="AC19" s="5" t="b">
        <f t="shared" si="3"/>
        <v>1</v>
      </c>
      <c r="AD19" s="27" t="str">
        <f t="shared" si="4"/>
        <v>TBD</v>
      </c>
      <c r="AE19" s="4">
        <f t="shared" si="5"/>
        <v>103</v>
      </c>
      <c r="AF19" s="32">
        <f t="shared" si="6"/>
        <v>428</v>
      </c>
      <c r="AG19" s="32">
        <f t="shared" si="7"/>
        <v>166</v>
      </c>
      <c r="AH19" s="4">
        <f t="shared" si="8"/>
        <v>5.3700934579439252</v>
      </c>
      <c r="AI19" s="4">
        <f t="shared" si="9"/>
        <v>317</v>
      </c>
      <c r="AJ19" s="33">
        <f t="shared" si="10"/>
        <v>1195.580087999077</v>
      </c>
      <c r="AK19" s="39">
        <f t="shared" si="11"/>
        <v>41</v>
      </c>
      <c r="AL19" s="31">
        <f t="shared" si="12"/>
        <v>35.629906542056077</v>
      </c>
      <c r="AM19" s="34">
        <f t="shared" si="13"/>
        <v>4148.9058933093347</v>
      </c>
      <c r="AN19" s="45">
        <f t="shared" si="14"/>
        <v>1199.7142857142858</v>
      </c>
      <c r="AO19" s="45">
        <f t="shared" si="15"/>
        <v>207.58894584089467</v>
      </c>
      <c r="AP19" s="45">
        <f t="shared" si="23"/>
        <v>33.400057429211209</v>
      </c>
      <c r="AQ19" s="45">
        <f t="shared" si="24"/>
        <v>35.919527631261886</v>
      </c>
      <c r="AR19" s="46">
        <f t="shared" si="16"/>
        <v>594</v>
      </c>
      <c r="AS19" s="47">
        <f t="shared" si="17"/>
        <v>1.7385233902954354E-4</v>
      </c>
      <c r="AT19" s="48">
        <f t="shared" si="18"/>
        <v>5.3138660043513669E-3</v>
      </c>
      <c r="AU19" s="52">
        <f t="shared" si="19"/>
        <v>0.54161246511947292</v>
      </c>
      <c r="AV19" s="3" t="str">
        <f t="shared" si="20"/>
        <v>MTS</v>
      </c>
      <c r="AW19" s="6" t="str">
        <f t="shared" si="25"/>
        <v/>
      </c>
    </row>
    <row r="20" spans="1:49" ht="15.75" x14ac:dyDescent="0.25">
      <c r="A20" s="84" t="s">
        <v>84</v>
      </c>
      <c r="B20" s="75" t="s">
        <v>114</v>
      </c>
      <c r="C20" s="74" t="s">
        <v>89</v>
      </c>
      <c r="D20" s="74" t="s">
        <v>18</v>
      </c>
      <c r="E20" s="76" t="s">
        <v>58</v>
      </c>
      <c r="F20" s="77">
        <v>1</v>
      </c>
      <c r="G20" s="78">
        <v>180</v>
      </c>
      <c r="H20" s="79">
        <v>20.67</v>
      </c>
      <c r="I20" s="80">
        <v>150</v>
      </c>
      <c r="J20" s="81">
        <v>2.8000000000000001E-2</v>
      </c>
      <c r="K20" s="82">
        <v>8.0000000000000002E-3</v>
      </c>
      <c r="L20" s="83">
        <v>8.5000000000000006E-2</v>
      </c>
      <c r="M20" s="37">
        <f t="shared" si="0"/>
        <v>7.8412471151627056E-2</v>
      </c>
      <c r="N20" s="36">
        <f t="shared" si="1"/>
        <v>0.19726407836887308</v>
      </c>
      <c r="O20" s="76">
        <v>3</v>
      </c>
      <c r="P20" s="76">
        <v>7</v>
      </c>
      <c r="Q20" s="76">
        <v>0</v>
      </c>
      <c r="R20" s="12">
        <f t="shared" si="27"/>
        <v>10</v>
      </c>
      <c r="S20" s="99">
        <v>0</v>
      </c>
      <c r="T20" s="82">
        <v>0.98499999999999999</v>
      </c>
      <c r="U20" s="82">
        <v>0.97499999999999998</v>
      </c>
      <c r="V20" s="99">
        <v>14</v>
      </c>
      <c r="W20" s="100">
        <v>165.2</v>
      </c>
      <c r="X20" s="101">
        <v>65.614761810553134</v>
      </c>
      <c r="Y20" s="76">
        <v>52</v>
      </c>
      <c r="Z20" s="49">
        <f t="shared" si="22"/>
        <v>1</v>
      </c>
      <c r="AA20" s="49">
        <f t="shared" si="2"/>
        <v>1</v>
      </c>
      <c r="AB20" s="75" t="b">
        <v>0</v>
      </c>
      <c r="AC20" s="5" t="b">
        <f t="shared" si="3"/>
        <v>1</v>
      </c>
      <c r="AD20" s="27" t="str">
        <f t="shared" si="4"/>
        <v>TBD</v>
      </c>
      <c r="AE20" s="4">
        <f t="shared" si="5"/>
        <v>170</v>
      </c>
      <c r="AF20" s="32">
        <f t="shared" si="6"/>
        <v>795</v>
      </c>
      <c r="AG20" s="32">
        <f t="shared" si="7"/>
        <v>406</v>
      </c>
      <c r="AH20" s="4">
        <f t="shared" si="8"/>
        <v>10.805534591194968</v>
      </c>
      <c r="AI20" s="4">
        <f t="shared" si="9"/>
        <v>567.5</v>
      </c>
      <c r="AJ20" s="33">
        <f t="shared" si="10"/>
        <v>2313.9520236845146</v>
      </c>
      <c r="AK20" s="39">
        <f t="shared" si="11"/>
        <v>52</v>
      </c>
      <c r="AL20" s="31">
        <f t="shared" si="12"/>
        <v>41.19446540880503</v>
      </c>
      <c r="AM20" s="34">
        <f t="shared" si="13"/>
        <v>3865.2177876362402</v>
      </c>
      <c r="AN20" s="45">
        <f t="shared" si="14"/>
        <v>4483.9999999999991</v>
      </c>
      <c r="AO20" s="45">
        <f t="shared" si="15"/>
        <v>341.84508266936359</v>
      </c>
      <c r="AP20" s="45">
        <f t="shared" si="23"/>
        <v>172.05707425050818</v>
      </c>
      <c r="AQ20" s="45">
        <f t="shared" si="24"/>
        <v>26.06111965772169</v>
      </c>
      <c r="AR20" s="46">
        <f t="shared" si="16"/>
        <v>1201</v>
      </c>
      <c r="AS20" s="47">
        <f t="shared" si="17"/>
        <v>7.7392216615053171E-46</v>
      </c>
      <c r="AT20" s="48">
        <f t="shared" si="18"/>
        <v>7.2793444799497451E-45</v>
      </c>
      <c r="AU20" s="52">
        <f t="shared" si="19"/>
        <v>1.6258445013345678E-42</v>
      </c>
      <c r="AV20" s="3" t="str">
        <f t="shared" si="20"/>
        <v>MTS</v>
      </c>
      <c r="AW20" s="6" t="str">
        <f t="shared" si="25"/>
        <v/>
      </c>
    </row>
    <row r="21" spans="1:49" ht="15.75" x14ac:dyDescent="0.25">
      <c r="A21" s="84" t="s">
        <v>85</v>
      </c>
      <c r="B21" s="75" t="s">
        <v>115</v>
      </c>
      <c r="C21" s="74" t="s">
        <v>90</v>
      </c>
      <c r="D21" s="74" t="s">
        <v>18</v>
      </c>
      <c r="E21" s="76" t="s">
        <v>58</v>
      </c>
      <c r="F21" s="77">
        <v>1</v>
      </c>
      <c r="G21" s="78">
        <v>180</v>
      </c>
      <c r="H21" s="79">
        <v>47.12</v>
      </c>
      <c r="I21" s="80">
        <v>150</v>
      </c>
      <c r="J21" s="81">
        <v>2.8000000000000001E-2</v>
      </c>
      <c r="K21" s="82">
        <v>7.0000000000000001E-3</v>
      </c>
      <c r="L21" s="83">
        <v>8.5000000000000006E-2</v>
      </c>
      <c r="M21" s="37">
        <f t="shared" si="0"/>
        <v>0.15960789113955512</v>
      </c>
      <c r="N21" s="36">
        <f t="shared" si="1"/>
        <v>0.17613774064636811</v>
      </c>
      <c r="O21" s="76">
        <v>3</v>
      </c>
      <c r="P21" s="76">
        <v>7</v>
      </c>
      <c r="Q21" s="76">
        <v>0</v>
      </c>
      <c r="R21" s="12">
        <f t="shared" si="27"/>
        <v>10</v>
      </c>
      <c r="S21" s="99">
        <v>0</v>
      </c>
      <c r="T21" s="82">
        <v>0.98499999999999999</v>
      </c>
      <c r="U21" s="82">
        <v>0.97499999999999998</v>
      </c>
      <c r="V21" s="99">
        <v>14</v>
      </c>
      <c r="W21" s="100">
        <v>10.3</v>
      </c>
      <c r="X21" s="101">
        <v>26.670151245458307</v>
      </c>
      <c r="Y21" s="76">
        <v>11</v>
      </c>
      <c r="Z21" s="49">
        <f t="shared" si="22"/>
        <v>0.21153846153846154</v>
      </c>
      <c r="AA21" s="49">
        <f t="shared" si="2"/>
        <v>0.21153846153846156</v>
      </c>
      <c r="AB21" s="75" t="b">
        <v>0</v>
      </c>
      <c r="AC21" s="5" t="b">
        <f t="shared" si="3"/>
        <v>1</v>
      </c>
      <c r="AD21" s="27" t="str">
        <f t="shared" si="4"/>
        <v>TBD</v>
      </c>
      <c r="AE21" s="4">
        <f t="shared" si="5"/>
        <v>69</v>
      </c>
      <c r="AF21" s="32">
        <f t="shared" si="6"/>
        <v>139</v>
      </c>
      <c r="AG21" s="32">
        <f t="shared" si="7"/>
        <v>84</v>
      </c>
      <c r="AH21" s="4">
        <f t="shared" si="8"/>
        <v>3.8532374100719431</v>
      </c>
      <c r="AI21" s="4">
        <f t="shared" si="9"/>
        <v>138.5</v>
      </c>
      <c r="AJ21" s="33">
        <f t="shared" si="10"/>
        <v>1149.4960319870761</v>
      </c>
      <c r="AK21" s="39">
        <f t="shared" si="11"/>
        <v>11.000000000000002</v>
      </c>
      <c r="AL21" s="31">
        <f t="shared" si="12"/>
        <v>7.1467625899280591</v>
      </c>
      <c r="AM21" s="34">
        <f t="shared" si="13"/>
        <v>-77.481643497867253</v>
      </c>
      <c r="AN21" s="45">
        <f t="shared" si="14"/>
        <v>279.57142857142861</v>
      </c>
      <c r="AO21" s="45">
        <f t="shared" si="15"/>
        <v>138.94830684033337</v>
      </c>
      <c r="AP21" s="45">
        <f t="shared" si="23"/>
        <v>4.0483593295586147</v>
      </c>
      <c r="AQ21" s="45">
        <f t="shared" si="24"/>
        <v>69.057958005400124</v>
      </c>
      <c r="AR21" s="46">
        <f t="shared" si="16"/>
        <v>223</v>
      </c>
      <c r="AS21" s="47">
        <f t="shared" si="17"/>
        <v>0.39397959133647326</v>
      </c>
      <c r="AT21" s="48">
        <f t="shared" si="18"/>
        <v>27.041905329175911</v>
      </c>
      <c r="AU21" s="52">
        <f t="shared" si="19"/>
        <v>4909.8512846886906</v>
      </c>
      <c r="AV21" s="3" t="str">
        <f t="shared" si="20"/>
        <v>MTO</v>
      </c>
      <c r="AW21" s="6" t="str">
        <f t="shared" si="25"/>
        <v/>
      </c>
    </row>
    <row r="22" spans="1:49" ht="15.75" x14ac:dyDescent="0.25">
      <c r="A22" s="84" t="s">
        <v>86</v>
      </c>
      <c r="B22" s="75" t="s">
        <v>116</v>
      </c>
      <c r="C22" s="74" t="s">
        <v>91</v>
      </c>
      <c r="D22" s="74" t="s">
        <v>18</v>
      </c>
      <c r="E22" s="76" t="s">
        <v>58</v>
      </c>
      <c r="F22" s="77">
        <v>1</v>
      </c>
      <c r="G22" s="78">
        <v>180</v>
      </c>
      <c r="H22" s="79">
        <v>41.18</v>
      </c>
      <c r="I22" s="80">
        <v>150</v>
      </c>
      <c r="J22" s="81">
        <v>2.8000000000000001E-2</v>
      </c>
      <c r="K22" s="82">
        <v>2.5000000000000001E-2</v>
      </c>
      <c r="L22" s="83">
        <v>8.5000000000000006E-2</v>
      </c>
      <c r="M22" s="37">
        <f t="shared" si="0"/>
        <v>0.31137069671039785</v>
      </c>
      <c r="N22" s="36">
        <f t="shared" si="1"/>
        <v>0.39318300701652958</v>
      </c>
      <c r="O22" s="76">
        <v>3</v>
      </c>
      <c r="P22" s="76">
        <v>7</v>
      </c>
      <c r="Q22" s="76">
        <v>0</v>
      </c>
      <c r="R22" s="12">
        <f t="shared" si="27"/>
        <v>10</v>
      </c>
      <c r="S22" s="99">
        <v>0</v>
      </c>
      <c r="T22" s="82">
        <v>0.98499999999999999</v>
      </c>
      <c r="U22" s="82">
        <v>0.97499999999999998</v>
      </c>
      <c r="V22" s="99">
        <v>14</v>
      </c>
      <c r="W22" s="100">
        <v>4</v>
      </c>
      <c r="X22" s="101">
        <v>20.662573360301046</v>
      </c>
      <c r="Y22" s="76">
        <v>2</v>
      </c>
      <c r="Z22" s="49">
        <f t="shared" si="22"/>
        <v>3.8461538461538464E-2</v>
      </c>
      <c r="AA22" s="49">
        <f t="shared" si="2"/>
        <v>3.8461538461538436E-2</v>
      </c>
      <c r="AB22" s="75" t="b">
        <v>0</v>
      </c>
      <c r="AC22" s="5" t="b">
        <f t="shared" si="3"/>
        <v>1</v>
      </c>
      <c r="AD22" s="27" t="str">
        <f t="shared" si="4"/>
        <v>TBD</v>
      </c>
      <c r="AE22" s="4">
        <f t="shared" si="5"/>
        <v>54</v>
      </c>
      <c r="AF22" s="32">
        <f t="shared" si="6"/>
        <v>62</v>
      </c>
      <c r="AG22" s="32">
        <f t="shared" si="7"/>
        <v>60</v>
      </c>
      <c r="AH22" s="4">
        <f t="shared" si="8"/>
        <v>3.3548387096774195</v>
      </c>
      <c r="AI22" s="4">
        <f t="shared" si="9"/>
        <v>85</v>
      </c>
      <c r="AJ22" s="33">
        <f t="shared" si="10"/>
        <v>1376.2584794599584</v>
      </c>
      <c r="AK22" s="39">
        <f t="shared" si="11"/>
        <v>1.9999999999999987</v>
      </c>
      <c r="AL22" s="31">
        <f t="shared" si="12"/>
        <v>0</v>
      </c>
      <c r="AM22" s="34">
        <f t="shared" si="13"/>
        <v>-1376.2584794599584</v>
      </c>
      <c r="AN22" s="45">
        <f t="shared" si="14"/>
        <v>108.57142857142857</v>
      </c>
      <c r="AO22" s="45">
        <f t="shared" si="15"/>
        <v>107.64954262743146</v>
      </c>
      <c r="AP22" s="45">
        <f t="shared" si="23"/>
        <v>1.0172008785375657</v>
      </c>
      <c r="AQ22" s="45">
        <f t="shared" si="24"/>
        <v>106.73548446745563</v>
      </c>
      <c r="AR22" s="46">
        <f t="shared" si="16"/>
        <v>122</v>
      </c>
      <c r="AS22" s="47">
        <f t="shared" si="17"/>
        <v>0.67425625021696534</v>
      </c>
      <c r="AT22" s="48">
        <f t="shared" si="18"/>
        <v>48.423938330494622</v>
      </c>
      <c r="AU22" s="52">
        <f t="shared" si="19"/>
        <v>6689.8764247347081</v>
      </c>
      <c r="AV22" s="3" t="str">
        <f t="shared" si="20"/>
        <v>MTO</v>
      </c>
      <c r="AW22" s="6" t="str">
        <f t="shared" si="25"/>
        <v/>
      </c>
    </row>
    <row r="23" spans="1:49" ht="15.75" x14ac:dyDescent="0.25">
      <c r="A23" s="84" t="s">
        <v>87</v>
      </c>
      <c r="B23" s="75" t="s">
        <v>117</v>
      </c>
      <c r="C23" s="74" t="s">
        <v>91</v>
      </c>
      <c r="D23" s="74" t="s">
        <v>18</v>
      </c>
      <c r="E23" s="76" t="s">
        <v>58</v>
      </c>
      <c r="F23" s="77">
        <v>1</v>
      </c>
      <c r="G23" s="78">
        <v>180</v>
      </c>
      <c r="H23" s="79">
        <v>30.37</v>
      </c>
      <c r="I23" s="80">
        <v>150</v>
      </c>
      <c r="J23" s="81">
        <v>2.8000000000000001E-2</v>
      </c>
      <c r="K23" s="82">
        <v>1.0999999999999999E-2</v>
      </c>
      <c r="L23" s="83">
        <v>8.5000000000000006E-2</v>
      </c>
      <c r="M23" s="37">
        <f t="shared" si="0"/>
        <v>0.13320431238793518</v>
      </c>
      <c r="N23" s="36">
        <f t="shared" si="1"/>
        <v>0.22807455529050474</v>
      </c>
      <c r="O23" s="76">
        <v>3</v>
      </c>
      <c r="P23" s="76">
        <v>7</v>
      </c>
      <c r="Q23" s="76">
        <v>0</v>
      </c>
      <c r="R23" s="12">
        <f t="shared" si="27"/>
        <v>10</v>
      </c>
      <c r="S23" s="99">
        <v>0</v>
      </c>
      <c r="T23" s="82">
        <v>0.98499999999999999</v>
      </c>
      <c r="U23" s="82">
        <v>0.97499999999999998</v>
      </c>
      <c r="V23" s="99">
        <v>14</v>
      </c>
      <c r="W23" s="100">
        <v>20.100000000000001</v>
      </c>
      <c r="X23" s="101">
        <v>57.627460349997492</v>
      </c>
      <c r="Y23" s="76">
        <v>6</v>
      </c>
      <c r="Z23" s="49">
        <f t="shared" si="22"/>
        <v>0.11538461538461539</v>
      </c>
      <c r="AA23" s="49">
        <f t="shared" si="2"/>
        <v>0.11538461538461542</v>
      </c>
      <c r="AB23" s="75" t="b">
        <v>0</v>
      </c>
      <c r="AC23" s="5" t="b">
        <f t="shared" si="3"/>
        <v>1</v>
      </c>
      <c r="AD23" s="27" t="str">
        <f t="shared" si="4"/>
        <v>TBD</v>
      </c>
      <c r="AE23" s="4">
        <f t="shared" si="5"/>
        <v>149</v>
      </c>
      <c r="AF23" s="32">
        <f t="shared" si="6"/>
        <v>213</v>
      </c>
      <c r="AG23" s="32">
        <f t="shared" si="7"/>
        <v>178</v>
      </c>
      <c r="AH23" s="4">
        <f t="shared" si="8"/>
        <v>4.9070422535211264</v>
      </c>
      <c r="AI23" s="4">
        <f t="shared" si="9"/>
        <v>255.5</v>
      </c>
      <c r="AJ23" s="33">
        <f t="shared" si="10"/>
        <v>1769.7524943861067</v>
      </c>
      <c r="AK23" s="39">
        <f t="shared" si="11"/>
        <v>6.0000000000000018</v>
      </c>
      <c r="AL23" s="31">
        <f t="shared" si="12"/>
        <v>1.0929577464788753</v>
      </c>
      <c r="AM23" s="34">
        <f t="shared" si="13"/>
        <v>-1605.8088324142755</v>
      </c>
      <c r="AN23" s="45">
        <f t="shared" si="14"/>
        <v>545.57142857142867</v>
      </c>
      <c r="AO23" s="45">
        <f t="shared" si="15"/>
        <v>300.23219476508069</v>
      </c>
      <c r="AP23" s="45">
        <f t="shared" si="23"/>
        <v>3.30208854487717</v>
      </c>
      <c r="AQ23" s="45">
        <f t="shared" si="24"/>
        <v>165.22010877564844</v>
      </c>
      <c r="AR23" s="46">
        <f t="shared" si="16"/>
        <v>391</v>
      </c>
      <c r="AS23" s="47">
        <f t="shared" si="17"/>
        <v>0.3503462205400934</v>
      </c>
      <c r="AT23" s="48">
        <f t="shared" si="18"/>
        <v>44.932934850408245</v>
      </c>
      <c r="AU23" s="52">
        <f t="shared" si="19"/>
        <v>6696.2147862276533</v>
      </c>
      <c r="AV23" s="3" t="str">
        <f t="shared" si="20"/>
        <v>MTO</v>
      </c>
      <c r="AW23" s="6" t="str">
        <f t="shared" si="25"/>
        <v/>
      </c>
    </row>
    <row r="24" spans="1:49" ht="30" x14ac:dyDescent="0.25">
      <c r="A24" s="74" t="s">
        <v>99</v>
      </c>
      <c r="B24" s="75" t="s">
        <v>118</v>
      </c>
      <c r="C24" s="74" t="s">
        <v>92</v>
      </c>
      <c r="D24" s="74" t="s">
        <v>65</v>
      </c>
      <c r="E24" s="76" t="s">
        <v>58</v>
      </c>
      <c r="F24" s="77">
        <v>1</v>
      </c>
      <c r="G24" s="78">
        <v>443</v>
      </c>
      <c r="H24" s="79">
        <v>14.75</v>
      </c>
      <c r="I24" s="80">
        <v>363.95047001038103</v>
      </c>
      <c r="J24" s="81">
        <v>0.20209225032051284</v>
      </c>
      <c r="K24" s="82">
        <v>8.3999475257521816E-10</v>
      </c>
      <c r="L24" s="83">
        <v>8.5000000000000006E-2</v>
      </c>
      <c r="M24" s="37">
        <f t="shared" si="0"/>
        <v>7.0750840645771459E-2</v>
      </c>
      <c r="N24" s="36">
        <f t="shared" si="1"/>
        <v>0.24942669244610954</v>
      </c>
      <c r="O24" s="76">
        <v>18</v>
      </c>
      <c r="P24" s="76">
        <v>21</v>
      </c>
      <c r="Q24" s="76">
        <v>1</v>
      </c>
      <c r="R24" s="12">
        <f t="shared" si="27"/>
        <v>40</v>
      </c>
      <c r="S24" s="99">
        <v>0</v>
      </c>
      <c r="T24" s="82">
        <v>0.95</v>
      </c>
      <c r="U24" s="82">
        <v>0.95</v>
      </c>
      <c r="V24" s="99">
        <v>28</v>
      </c>
      <c r="W24" s="100">
        <v>114.82024671873022</v>
      </c>
      <c r="X24" s="101">
        <v>172.65955754215949</v>
      </c>
      <c r="Y24" s="76">
        <v>22</v>
      </c>
      <c r="Z24" s="49">
        <f t="shared" si="22"/>
        <v>0.42307692307692307</v>
      </c>
      <c r="AA24" s="49">
        <f t="shared" si="2"/>
        <v>0.80797678652708238</v>
      </c>
      <c r="AB24" s="75" t="b">
        <v>0</v>
      </c>
      <c r="AC24" s="5" t="b">
        <f t="shared" si="3"/>
        <v>0</v>
      </c>
      <c r="AD24" s="27" t="str">
        <f t="shared" si="4"/>
        <v>MTS</v>
      </c>
      <c r="AE24" s="4">
        <f t="shared" si="5"/>
        <v>679</v>
      </c>
      <c r="AF24" s="32">
        <f t="shared" si="6"/>
        <v>1087</v>
      </c>
      <c r="AG24" s="32">
        <f t="shared" si="7"/>
        <v>1335</v>
      </c>
      <c r="AH24" s="4">
        <f t="shared" si="8"/>
        <v>5.4927808917883825</v>
      </c>
      <c r="AI24" s="4">
        <f t="shared" si="9"/>
        <v>1222.5</v>
      </c>
      <c r="AJ24" s="33">
        <f t="shared" si="10"/>
        <v>4497.6309398516914</v>
      </c>
      <c r="AK24" s="39">
        <f t="shared" si="11"/>
        <v>14.004930966469427</v>
      </c>
      <c r="AL24" s="31">
        <f t="shared" si="12"/>
        <v>8.5121500746810455</v>
      </c>
      <c r="AM24" s="34">
        <f t="shared" si="13"/>
        <v>-1399.629919372625</v>
      </c>
      <c r="AN24" s="45">
        <f t="shared" si="14"/>
        <v>7922.5970235923842</v>
      </c>
      <c r="AO24" s="45">
        <f t="shared" si="15"/>
        <v>1434.2180008405785</v>
      </c>
      <c r="AP24" s="45">
        <f t="shared" si="23"/>
        <v>30.514397186589996</v>
      </c>
      <c r="AQ24" s="45">
        <f t="shared" si="24"/>
        <v>259.6347217723864</v>
      </c>
      <c r="AR24" s="46">
        <f t="shared" si="16"/>
        <v>2422</v>
      </c>
      <c r="AS24" s="47">
        <f t="shared" si="17"/>
        <v>3.1844929905166127E-8</v>
      </c>
      <c r="AT24" s="48">
        <f t="shared" si="18"/>
        <v>3.3600841094268022E-6</v>
      </c>
      <c r="AU24" s="52">
        <f t="shared" si="19"/>
        <v>2.7222903541815455E-4</v>
      </c>
      <c r="AV24" s="3" t="str">
        <f t="shared" si="20"/>
        <v>MTS</v>
      </c>
      <c r="AW24" s="6" t="str">
        <f t="shared" si="25"/>
        <v xml:space="preserve">Seek to negotiate longer order lead-time so item can be MTO. </v>
      </c>
    </row>
    <row r="25" spans="1:49" ht="15.75" x14ac:dyDescent="0.25">
      <c r="A25" s="74" t="s">
        <v>100</v>
      </c>
      <c r="B25" s="75" t="s">
        <v>119</v>
      </c>
      <c r="C25" s="74" t="s">
        <v>92</v>
      </c>
      <c r="D25" s="74" t="s">
        <v>65</v>
      </c>
      <c r="E25" s="76" t="s">
        <v>58</v>
      </c>
      <c r="F25" s="77">
        <v>1</v>
      </c>
      <c r="G25" s="78">
        <v>443</v>
      </c>
      <c r="H25" s="79">
        <v>13.95</v>
      </c>
      <c r="I25" s="80">
        <v>363.95047001038103</v>
      </c>
      <c r="J25" s="81">
        <v>0.19609847532051283</v>
      </c>
      <c r="K25" s="82">
        <v>1.0915920969417003E-9</v>
      </c>
      <c r="L25" s="83">
        <v>8.5000000000000006E-2</v>
      </c>
      <c r="M25" s="37">
        <f t="shared" si="0"/>
        <v>6.8059863740291743E-2</v>
      </c>
      <c r="N25" s="36">
        <f t="shared" si="1"/>
        <v>0.25369985050144594</v>
      </c>
      <c r="O25" s="76">
        <v>18</v>
      </c>
      <c r="P25" s="76">
        <v>21</v>
      </c>
      <c r="Q25" s="76">
        <v>1</v>
      </c>
      <c r="R25" s="12">
        <f t="shared" si="27"/>
        <v>40</v>
      </c>
      <c r="S25" s="99">
        <v>0</v>
      </c>
      <c r="T25" s="82">
        <v>0.95</v>
      </c>
      <c r="U25" s="82">
        <v>0.97499999999999998</v>
      </c>
      <c r="V25" s="99">
        <v>28</v>
      </c>
      <c r="W25" s="100">
        <v>76.881844509130971</v>
      </c>
      <c r="X25" s="101">
        <v>105.87168337540992</v>
      </c>
      <c r="Y25" s="76">
        <v>22</v>
      </c>
      <c r="Z25" s="49">
        <f t="shared" si="22"/>
        <v>0.42307692307692307</v>
      </c>
      <c r="AA25" s="49">
        <f t="shared" si="2"/>
        <v>0.80797678652708238</v>
      </c>
      <c r="AB25" s="75" t="b">
        <v>0</v>
      </c>
      <c r="AC25" s="5" t="b">
        <f t="shared" si="3"/>
        <v>0</v>
      </c>
      <c r="AD25" s="27" t="str">
        <f t="shared" si="4"/>
        <v>MTS</v>
      </c>
      <c r="AE25" s="4">
        <f t="shared" si="5"/>
        <v>416</v>
      </c>
      <c r="AF25" s="32">
        <f t="shared" si="6"/>
        <v>907</v>
      </c>
      <c r="AG25" s="32">
        <f t="shared" si="7"/>
        <v>855</v>
      </c>
      <c r="AH25" s="4">
        <f t="shared" si="8"/>
        <v>4.4077793985389313</v>
      </c>
      <c r="AI25" s="4">
        <f t="shared" si="9"/>
        <v>869.5</v>
      </c>
      <c r="AJ25" s="33">
        <f t="shared" si="10"/>
        <v>3077.2586791535509</v>
      </c>
      <c r="AK25" s="39">
        <f t="shared" si="11"/>
        <v>14.004930966469427</v>
      </c>
      <c r="AL25" s="31">
        <f t="shared" si="12"/>
        <v>9.5971515679304957</v>
      </c>
      <c r="AM25" s="34">
        <f t="shared" si="13"/>
        <v>415.6291447556182</v>
      </c>
      <c r="AN25" s="45">
        <f t="shared" si="14"/>
        <v>5304.8472711300365</v>
      </c>
      <c r="AO25" s="45">
        <f t="shared" si="15"/>
        <v>879.43625153348682</v>
      </c>
      <c r="AP25" s="45">
        <f t="shared" si="23"/>
        <v>36.386228465525548</v>
      </c>
      <c r="AQ25" s="45">
        <f t="shared" si="24"/>
        <v>145.79272144559201</v>
      </c>
      <c r="AR25" s="46">
        <f t="shared" si="16"/>
        <v>1762</v>
      </c>
      <c r="AS25" s="47">
        <f t="shared" si="17"/>
        <v>1.3283552613757487E-8</v>
      </c>
      <c r="AT25" s="48">
        <f t="shared" si="18"/>
        <v>8.9410271088569018E-7</v>
      </c>
      <c r="AU25" s="52">
        <f t="shared" si="19"/>
        <v>5.4977054753615581E-5</v>
      </c>
      <c r="AV25" s="3" t="str">
        <f t="shared" si="20"/>
        <v>MTS</v>
      </c>
      <c r="AW25" s="6" t="str">
        <f t="shared" si="25"/>
        <v/>
      </c>
    </row>
    <row r="26" spans="1:49" ht="15.75" x14ac:dyDescent="0.25">
      <c r="A26" s="74" t="s">
        <v>101</v>
      </c>
      <c r="B26" s="75" t="s">
        <v>120</v>
      </c>
      <c r="C26" s="74" t="s">
        <v>93</v>
      </c>
      <c r="D26" s="74" t="s">
        <v>65</v>
      </c>
      <c r="E26" s="76" t="s">
        <v>58</v>
      </c>
      <c r="F26" s="77">
        <v>1</v>
      </c>
      <c r="G26" s="78">
        <v>443</v>
      </c>
      <c r="H26" s="79">
        <v>34.17</v>
      </c>
      <c r="I26" s="80">
        <v>4200.901192415784</v>
      </c>
      <c r="J26" s="81">
        <v>0.41047301666666663</v>
      </c>
      <c r="K26" s="82">
        <v>1.3842232261829883E-15</v>
      </c>
      <c r="L26" s="83">
        <v>8.5000000000000006E-2</v>
      </c>
      <c r="M26" s="37">
        <f t="shared" si="0"/>
        <v>0.1505866370638087</v>
      </c>
      <c r="N26" s="36">
        <f t="shared" si="1"/>
        <v>0.22916315854018296</v>
      </c>
      <c r="O26" s="76">
        <v>18</v>
      </c>
      <c r="P26" s="76">
        <v>7</v>
      </c>
      <c r="Q26" s="76">
        <v>1</v>
      </c>
      <c r="R26" s="12">
        <f t="shared" si="27"/>
        <v>26</v>
      </c>
      <c r="S26" s="99">
        <v>0</v>
      </c>
      <c r="T26" s="82">
        <v>0.95</v>
      </c>
      <c r="U26" s="82">
        <v>0.97499999999999998</v>
      </c>
      <c r="V26" s="99">
        <v>28</v>
      </c>
      <c r="W26" s="100">
        <v>2411.9845447168391</v>
      </c>
      <c r="X26" s="101">
        <v>3408.6080641779035</v>
      </c>
      <c r="Y26" s="76">
        <v>52</v>
      </c>
      <c r="Z26" s="49">
        <f t="shared" si="22"/>
        <v>1</v>
      </c>
      <c r="AA26" s="49">
        <f t="shared" si="2"/>
        <v>1</v>
      </c>
      <c r="AB26" s="75" t="b">
        <v>0</v>
      </c>
      <c r="AC26" s="5" t="b">
        <f t="shared" si="3"/>
        <v>1</v>
      </c>
      <c r="AD26" s="27" t="str">
        <f t="shared" si="4"/>
        <v>TBD</v>
      </c>
      <c r="AE26" s="4">
        <f t="shared" si="5"/>
        <v>10805</v>
      </c>
      <c r="AF26" s="32">
        <f t="shared" si="6"/>
        <v>11601</v>
      </c>
      <c r="AG26" s="32">
        <f t="shared" si="7"/>
        <v>19764</v>
      </c>
      <c r="AH26" s="4">
        <f t="shared" si="8"/>
        <v>10.811412492481306</v>
      </c>
      <c r="AI26" s="4">
        <f t="shared" si="9"/>
        <v>16605.5</v>
      </c>
      <c r="AJ26" s="33">
        <f t="shared" si="10"/>
        <v>130029.45289167993</v>
      </c>
      <c r="AK26" s="39">
        <f t="shared" si="11"/>
        <v>52</v>
      </c>
      <c r="AL26" s="31">
        <f t="shared" si="12"/>
        <v>41.18858750751869</v>
      </c>
      <c r="AM26" s="34">
        <f t="shared" si="13"/>
        <v>42999.733482577183</v>
      </c>
      <c r="AN26" s="45">
        <f t="shared" si="14"/>
        <v>161602.9644960282</v>
      </c>
      <c r="AO26" s="45">
        <f t="shared" si="15"/>
        <v>27900.659466345391</v>
      </c>
      <c r="AP26" s="45">
        <f t="shared" si="23"/>
        <v>33.548237566087863</v>
      </c>
      <c r="AQ26" s="45">
        <f t="shared" si="24"/>
        <v>4817.0329120175329</v>
      </c>
      <c r="AR26" s="46">
        <f t="shared" si="16"/>
        <v>31365</v>
      </c>
      <c r="AS26" s="47">
        <f t="shared" si="17"/>
        <v>6.0614465046674935E-14</v>
      </c>
      <c r="AT26" s="48">
        <f t="shared" si="18"/>
        <v>6.6764321171557302E-11</v>
      </c>
      <c r="AU26" s="52">
        <f t="shared" si="19"/>
        <v>2.4664473767565355E-8</v>
      </c>
      <c r="AV26" s="3" t="str">
        <f t="shared" si="20"/>
        <v>MTS</v>
      </c>
      <c r="AW26" s="6" t="str">
        <f t="shared" si="25"/>
        <v/>
      </c>
    </row>
    <row r="27" spans="1:49" ht="15.75" x14ac:dyDescent="0.25">
      <c r="A27" s="74" t="s">
        <v>102</v>
      </c>
      <c r="B27" s="75" t="s">
        <v>121</v>
      </c>
      <c r="C27" s="74" t="s">
        <v>94</v>
      </c>
      <c r="D27" s="74" t="s">
        <v>65</v>
      </c>
      <c r="E27" s="76" t="s">
        <v>58</v>
      </c>
      <c r="F27" s="77">
        <v>1</v>
      </c>
      <c r="G27" s="78">
        <v>263</v>
      </c>
      <c r="H27" s="79">
        <v>29.53</v>
      </c>
      <c r="I27" s="80">
        <v>363.95047001038103</v>
      </c>
      <c r="J27" s="81">
        <v>0.36612165833333332</v>
      </c>
      <c r="K27" s="82">
        <v>6.5512815389171093E-14</v>
      </c>
      <c r="L27" s="83">
        <v>8.5000000000000006E-2</v>
      </c>
      <c r="M27" s="37">
        <f t="shared" si="0"/>
        <v>0.13276630547068977</v>
      </c>
      <c r="N27" s="36">
        <f t="shared" si="1"/>
        <v>0.23379098829921663</v>
      </c>
      <c r="O27" s="76">
        <v>18</v>
      </c>
      <c r="P27" s="76">
        <v>7</v>
      </c>
      <c r="Q27" s="76">
        <v>1</v>
      </c>
      <c r="R27" s="12">
        <f t="shared" si="27"/>
        <v>26</v>
      </c>
      <c r="S27" s="99">
        <v>0</v>
      </c>
      <c r="T27" s="82">
        <v>0.95</v>
      </c>
      <c r="U27" s="82">
        <v>0.97499999999999998</v>
      </c>
      <c r="V27" s="99">
        <v>28</v>
      </c>
      <c r="W27" s="100">
        <v>231.83601535782472</v>
      </c>
      <c r="X27" s="101">
        <v>214.54203766183457</v>
      </c>
      <c r="Y27" s="76">
        <v>52</v>
      </c>
      <c r="Z27" s="49">
        <f t="shared" si="22"/>
        <v>1</v>
      </c>
      <c r="AA27" s="49">
        <f t="shared" si="2"/>
        <v>1</v>
      </c>
      <c r="AB27" s="75" t="b">
        <v>0</v>
      </c>
      <c r="AC27" s="5" t="b">
        <f t="shared" si="3"/>
        <v>1</v>
      </c>
      <c r="AD27" s="27" t="str">
        <f t="shared" si="4"/>
        <v>TBD</v>
      </c>
      <c r="AE27" s="4">
        <f t="shared" si="5"/>
        <v>680</v>
      </c>
      <c r="AF27" s="32">
        <f t="shared" si="6"/>
        <v>1127</v>
      </c>
      <c r="AG27" s="32">
        <f t="shared" si="7"/>
        <v>1541</v>
      </c>
      <c r="AH27" s="4">
        <f t="shared" si="8"/>
        <v>10.696959004975055</v>
      </c>
      <c r="AI27" s="4">
        <f t="shared" si="9"/>
        <v>1243.5</v>
      </c>
      <c r="AJ27" s="33">
        <f t="shared" si="10"/>
        <v>8584.934844345742</v>
      </c>
      <c r="AK27" s="39">
        <f t="shared" si="11"/>
        <v>52</v>
      </c>
      <c r="AL27" s="31">
        <f t="shared" si="12"/>
        <v>41.303040995024944</v>
      </c>
      <c r="AM27" s="34">
        <f t="shared" si="13"/>
        <v>6447.326338651621</v>
      </c>
      <c r="AN27" s="45">
        <f t="shared" si="14"/>
        <v>9571.5154912016205</v>
      </c>
      <c r="AO27" s="45">
        <f t="shared" si="15"/>
        <v>1378.5175594540785</v>
      </c>
      <c r="AP27" s="45">
        <f t="shared" si="23"/>
        <v>48.209964109360833</v>
      </c>
      <c r="AQ27" s="45">
        <f t="shared" si="24"/>
        <v>198.53811692307687</v>
      </c>
      <c r="AR27" s="46">
        <f t="shared" si="16"/>
        <v>2668</v>
      </c>
      <c r="AS27" s="47">
        <f t="shared" si="17"/>
        <v>1.7801551125505743E-13</v>
      </c>
      <c r="AT27" s="48">
        <f t="shared" si="18"/>
        <v>1.301837109111947E-11</v>
      </c>
      <c r="AU27" s="52">
        <f t="shared" si="19"/>
        <v>4.1122586747172895E-9</v>
      </c>
      <c r="AV27" s="3" t="str">
        <f t="shared" si="20"/>
        <v>MTS</v>
      </c>
      <c r="AW27" s="6" t="str">
        <f t="shared" si="25"/>
        <v/>
      </c>
    </row>
    <row r="28" spans="1:49" ht="15.75" x14ac:dyDescent="0.25">
      <c r="A28" s="74" t="s">
        <v>103</v>
      </c>
      <c r="B28" s="75" t="s">
        <v>122</v>
      </c>
      <c r="C28" s="74" t="s">
        <v>95</v>
      </c>
      <c r="D28" s="74" t="s">
        <v>65</v>
      </c>
      <c r="E28" s="76" t="s">
        <v>58</v>
      </c>
      <c r="F28" s="77">
        <v>1</v>
      </c>
      <c r="G28" s="78">
        <v>443</v>
      </c>
      <c r="H28" s="79">
        <v>9.01</v>
      </c>
      <c r="I28" s="80">
        <v>7531.2694122749217</v>
      </c>
      <c r="J28" s="81">
        <v>0.15586097261904763</v>
      </c>
      <c r="K28" s="82">
        <v>7.7430517851241743E-10</v>
      </c>
      <c r="L28" s="83">
        <v>8.5000000000000006E-2</v>
      </c>
      <c r="M28" s="37">
        <f t="shared" si="0"/>
        <v>5.0698569959381219E-2</v>
      </c>
      <c r="N28" s="36">
        <f t="shared" si="1"/>
        <v>0.29259995980996928</v>
      </c>
      <c r="O28" s="76">
        <v>18</v>
      </c>
      <c r="P28" s="76">
        <v>7</v>
      </c>
      <c r="Q28" s="76">
        <v>1</v>
      </c>
      <c r="R28" s="12">
        <f t="shared" si="27"/>
        <v>26</v>
      </c>
      <c r="S28" s="99">
        <v>0</v>
      </c>
      <c r="T28" s="82">
        <v>0.95</v>
      </c>
      <c r="U28" s="82">
        <v>0.97499999999999998</v>
      </c>
      <c r="V28" s="99">
        <v>28</v>
      </c>
      <c r="W28" s="100">
        <v>2045.2452386447308</v>
      </c>
      <c r="X28" s="101">
        <v>2833.4692705228408</v>
      </c>
      <c r="Y28" s="76">
        <v>52</v>
      </c>
      <c r="Z28" s="49">
        <f t="shared" si="22"/>
        <v>1</v>
      </c>
      <c r="AA28" s="49">
        <f t="shared" si="2"/>
        <v>1</v>
      </c>
      <c r="AB28" s="75" t="b">
        <v>0</v>
      </c>
      <c r="AC28" s="5" t="b">
        <f t="shared" si="3"/>
        <v>1</v>
      </c>
      <c r="AD28" s="27" t="str">
        <f t="shared" si="4"/>
        <v>TBD</v>
      </c>
      <c r="AE28" s="4">
        <f t="shared" si="5"/>
        <v>8982</v>
      </c>
      <c r="AF28" s="32">
        <f t="shared" si="6"/>
        <v>24650</v>
      </c>
      <c r="AG28" s="32">
        <f t="shared" si="7"/>
        <v>16579</v>
      </c>
      <c r="AH28" s="4">
        <f t="shared" si="8"/>
        <v>4.3145132823337118</v>
      </c>
      <c r="AI28" s="4">
        <f t="shared" si="9"/>
        <v>21307</v>
      </c>
      <c r="AJ28" s="33">
        <f t="shared" si="10"/>
        <v>56172.190366475857</v>
      </c>
      <c r="AK28" s="39">
        <f t="shared" si="11"/>
        <v>52</v>
      </c>
      <c r="AL28" s="31">
        <f t="shared" si="12"/>
        <v>47.685486717666286</v>
      </c>
      <c r="AM28" s="34">
        <f t="shared" si="13"/>
        <v>302960.05715972633</v>
      </c>
      <c r="AN28" s="45">
        <f t="shared" si="14"/>
        <v>137031.43098919696</v>
      </c>
      <c r="AO28" s="45">
        <f t="shared" si="15"/>
        <v>23192.945547489544</v>
      </c>
      <c r="AP28" s="45">
        <f t="shared" si="23"/>
        <v>34.908289523863893</v>
      </c>
      <c r="AQ28" s="45">
        <f t="shared" si="24"/>
        <v>3925.4696479906293</v>
      </c>
      <c r="AR28" s="46">
        <f t="shared" si="16"/>
        <v>41229</v>
      </c>
      <c r="AS28" s="47">
        <f t="shared" si="17"/>
        <v>2.328645756061968E-9</v>
      </c>
      <c r="AT28" s="48">
        <f t="shared" si="18"/>
        <v>3.6687285915101825E-6</v>
      </c>
      <c r="AU28" s="52">
        <f t="shared" si="19"/>
        <v>1.4261729191850667E-4</v>
      </c>
      <c r="AV28" s="3" t="str">
        <f t="shared" si="20"/>
        <v>MTS</v>
      </c>
      <c r="AW28" s="6" t="str">
        <f t="shared" si="25"/>
        <v/>
      </c>
    </row>
    <row r="29" spans="1:49" ht="15.75" x14ac:dyDescent="0.25">
      <c r="A29" s="74" t="s">
        <v>104</v>
      </c>
      <c r="B29" s="75" t="s">
        <v>123</v>
      </c>
      <c r="C29" s="74" t="s">
        <v>96</v>
      </c>
      <c r="D29" s="74" t="s">
        <v>65</v>
      </c>
      <c r="E29" s="76" t="s">
        <v>58</v>
      </c>
      <c r="F29" s="77">
        <v>1</v>
      </c>
      <c r="G29" s="78">
        <v>233</v>
      </c>
      <c r="H29" s="79">
        <v>10.5</v>
      </c>
      <c r="I29" s="80">
        <v>753.26946711161304</v>
      </c>
      <c r="J29" s="81">
        <v>0.15744693095238096</v>
      </c>
      <c r="K29" s="82">
        <v>6.6617700699329102E-9</v>
      </c>
      <c r="L29" s="83">
        <v>8.5000000000000006E-2</v>
      </c>
      <c r="M29" s="37">
        <f t="shared" si="0"/>
        <v>5.3500179955485935E-2</v>
      </c>
      <c r="N29" s="36">
        <f t="shared" si="1"/>
        <v>0.26495327216050174</v>
      </c>
      <c r="O29" s="76">
        <v>18</v>
      </c>
      <c r="P29" s="76">
        <v>7</v>
      </c>
      <c r="Q29" s="76">
        <v>1</v>
      </c>
      <c r="R29" s="12">
        <f t="shared" si="27"/>
        <v>26</v>
      </c>
      <c r="S29" s="99">
        <v>0</v>
      </c>
      <c r="T29" s="82">
        <v>0.95</v>
      </c>
      <c r="U29" s="82">
        <v>0.97499999999999998</v>
      </c>
      <c r="V29" s="99">
        <v>28</v>
      </c>
      <c r="W29" s="100">
        <v>171.00571011665909</v>
      </c>
      <c r="X29" s="101">
        <v>100.66528266338211</v>
      </c>
      <c r="Y29" s="76">
        <v>52</v>
      </c>
      <c r="Z29" s="49">
        <f t="shared" si="22"/>
        <v>1</v>
      </c>
      <c r="AA29" s="49">
        <f t="shared" si="2"/>
        <v>1</v>
      </c>
      <c r="AB29" s="75" t="b">
        <v>0</v>
      </c>
      <c r="AC29" s="5" t="b">
        <f t="shared" si="3"/>
        <v>1</v>
      </c>
      <c r="AD29" s="27" t="str">
        <f t="shared" si="4"/>
        <v>TBD</v>
      </c>
      <c r="AE29" s="4">
        <f t="shared" si="5"/>
        <v>319</v>
      </c>
      <c r="AF29" s="32">
        <f t="shared" si="6"/>
        <v>2194</v>
      </c>
      <c r="AG29" s="32">
        <f t="shared" si="7"/>
        <v>954</v>
      </c>
      <c r="AH29" s="4">
        <f t="shared" si="8"/>
        <v>4.0530068031295681</v>
      </c>
      <c r="AI29" s="4">
        <f t="shared" si="9"/>
        <v>1416</v>
      </c>
      <c r="AJ29" s="33">
        <f t="shared" si="10"/>
        <v>3939.3252504823404</v>
      </c>
      <c r="AK29" s="39">
        <f t="shared" si="11"/>
        <v>52</v>
      </c>
      <c r="AL29" s="31">
        <f t="shared" si="12"/>
        <v>47.94699319687043</v>
      </c>
      <c r="AM29" s="34">
        <f t="shared" si="13"/>
        <v>32177.680764528384</v>
      </c>
      <c r="AN29" s="45">
        <f t="shared" si="14"/>
        <v>6327.2112743163862</v>
      </c>
      <c r="AO29" s="45">
        <f t="shared" si="15"/>
        <v>612.32300948669968</v>
      </c>
      <c r="AP29" s="45">
        <f t="shared" si="23"/>
        <v>106.77350861209285</v>
      </c>
      <c r="AQ29" s="45">
        <f t="shared" si="24"/>
        <v>59.258250071214619</v>
      </c>
      <c r="AR29" s="46">
        <f t="shared" si="16"/>
        <v>3148</v>
      </c>
      <c r="AS29" s="47">
        <f t="shared" si="17"/>
        <v>6.4016224345236372E-11</v>
      </c>
      <c r="AT29" s="48">
        <f t="shared" si="18"/>
        <v>3.5685205649215596E-9</v>
      </c>
      <c r="AU29" s="52">
        <f t="shared" si="19"/>
        <v>1.5186400033071593E-7</v>
      </c>
      <c r="AV29" s="3" t="str">
        <f t="shared" si="20"/>
        <v>MTS</v>
      </c>
      <c r="AW29" s="6" t="str">
        <f t="shared" si="25"/>
        <v/>
      </c>
    </row>
    <row r="30" spans="1:49" ht="15.75" x14ac:dyDescent="0.25">
      <c r="A30" s="74" t="s">
        <v>105</v>
      </c>
      <c r="B30" s="75" t="s">
        <v>124</v>
      </c>
      <c r="C30" s="74" t="s">
        <v>97</v>
      </c>
      <c r="D30" s="74" t="s">
        <v>65</v>
      </c>
      <c r="E30" s="76" t="s">
        <v>58</v>
      </c>
      <c r="F30" s="77">
        <v>1</v>
      </c>
      <c r="G30" s="78">
        <v>353</v>
      </c>
      <c r="H30" s="79">
        <v>8.9</v>
      </c>
      <c r="I30" s="80">
        <v>706.05650740077385</v>
      </c>
      <c r="J30" s="81">
        <v>0.18597142083333335</v>
      </c>
      <c r="K30" s="82">
        <v>2.7964560131688607E-123</v>
      </c>
      <c r="L30" s="83">
        <v>8.5000000000000006E-2</v>
      </c>
      <c r="M30" s="37">
        <f t="shared" si="0"/>
        <v>5.7467860175634808E-2</v>
      </c>
      <c r="N30" s="36">
        <f t="shared" si="1"/>
        <v>0.33576727293629327</v>
      </c>
      <c r="O30" s="76">
        <v>18</v>
      </c>
      <c r="P30" s="76">
        <v>7</v>
      </c>
      <c r="Q30" s="76">
        <v>1</v>
      </c>
      <c r="R30" s="12">
        <f t="shared" si="27"/>
        <v>26</v>
      </c>
      <c r="S30" s="99">
        <v>0</v>
      </c>
      <c r="T30" s="82">
        <v>0.95</v>
      </c>
      <c r="U30" s="82">
        <v>0.97499999999999998</v>
      </c>
      <c r="V30" s="99">
        <v>28</v>
      </c>
      <c r="W30" s="100">
        <v>1434.8026771290099</v>
      </c>
      <c r="X30" s="101">
        <v>591.41900911441144</v>
      </c>
      <c r="Y30" s="76">
        <v>52</v>
      </c>
      <c r="Z30" s="49">
        <f t="shared" si="22"/>
        <v>1</v>
      </c>
      <c r="AA30" s="49">
        <f t="shared" si="2"/>
        <v>1</v>
      </c>
      <c r="AB30" s="75" t="b">
        <v>0</v>
      </c>
      <c r="AC30" s="5" t="b">
        <f t="shared" si="3"/>
        <v>1</v>
      </c>
      <c r="AD30" s="27" t="str">
        <f t="shared" si="4"/>
        <v>TBD</v>
      </c>
      <c r="AE30" s="4">
        <f t="shared" si="5"/>
        <v>1875</v>
      </c>
      <c r="AF30" s="32">
        <f t="shared" si="6"/>
        <v>5938</v>
      </c>
      <c r="AG30" s="32">
        <f t="shared" si="7"/>
        <v>7204</v>
      </c>
      <c r="AH30" s="4">
        <f t="shared" si="8"/>
        <v>12.56479272662656</v>
      </c>
      <c r="AI30" s="4">
        <f t="shared" si="9"/>
        <v>4844</v>
      </c>
      <c r="AJ30" s="33">
        <f t="shared" si="10"/>
        <v>14475.4643639203</v>
      </c>
      <c r="AK30" s="39">
        <f t="shared" si="11"/>
        <v>52</v>
      </c>
      <c r="AL30" s="31">
        <f t="shared" si="12"/>
        <v>39.435207273373436</v>
      </c>
      <c r="AM30" s="34">
        <f t="shared" si="13"/>
        <v>13368.020352143341</v>
      </c>
      <c r="AN30" s="45">
        <f t="shared" si="14"/>
        <v>77684.316375984956</v>
      </c>
      <c r="AO30" s="45">
        <f t="shared" si="15"/>
        <v>4351.769302012518</v>
      </c>
      <c r="AP30" s="45">
        <f t="shared" si="23"/>
        <v>318.66544162778808</v>
      </c>
      <c r="AQ30" s="45">
        <f t="shared" si="24"/>
        <v>243.78017264489836</v>
      </c>
      <c r="AR30" s="46">
        <f t="shared" si="16"/>
        <v>13142</v>
      </c>
      <c r="AS30" s="47">
        <f t="shared" si="17"/>
        <v>3.2083946002409155E-133</v>
      </c>
      <c r="AT30" s="48">
        <f t="shared" si="18"/>
        <v>1.5841900573370678E-131</v>
      </c>
      <c r="AU30" s="52">
        <f t="shared" si="19"/>
        <v>1.7715467541920383E-129</v>
      </c>
      <c r="AV30" s="3" t="str">
        <f t="shared" si="20"/>
        <v>MTS</v>
      </c>
      <c r="AW30" s="6" t="str">
        <f t="shared" si="25"/>
        <v/>
      </c>
    </row>
    <row r="31" spans="1:49" ht="30" x14ac:dyDescent="0.25">
      <c r="A31" s="74" t="s">
        <v>106</v>
      </c>
      <c r="B31" s="75" t="s">
        <v>125</v>
      </c>
      <c r="C31" s="74" t="s">
        <v>98</v>
      </c>
      <c r="D31" s="74" t="s">
        <v>65</v>
      </c>
      <c r="E31" s="76" t="s">
        <v>58</v>
      </c>
      <c r="F31" s="77">
        <v>1</v>
      </c>
      <c r="G31" s="78">
        <v>218</v>
      </c>
      <c r="H31" s="79">
        <v>10.87</v>
      </c>
      <c r="I31" s="80">
        <v>101.32250000000001</v>
      </c>
      <c r="J31" s="81">
        <v>0.17246843257575759</v>
      </c>
      <c r="K31" s="82">
        <v>8.4113605069640462E-13</v>
      </c>
      <c r="L31" s="83">
        <v>8.5000000000000006E-2</v>
      </c>
      <c r="M31" s="37">
        <f t="shared" si="0"/>
        <v>5.7571738555694398E-2</v>
      </c>
      <c r="N31" s="36">
        <f t="shared" si="1"/>
        <v>0.2754121807632115</v>
      </c>
      <c r="O31" s="76">
        <v>18</v>
      </c>
      <c r="P31" s="76">
        <v>28</v>
      </c>
      <c r="Q31" s="76">
        <v>1</v>
      </c>
      <c r="R31" s="12">
        <f t="shared" si="27"/>
        <v>47</v>
      </c>
      <c r="S31" s="99">
        <v>0</v>
      </c>
      <c r="T31" s="82">
        <v>0.95</v>
      </c>
      <c r="U31" s="82">
        <v>0.97499999999999998</v>
      </c>
      <c r="V31" s="99">
        <v>28</v>
      </c>
      <c r="W31" s="100">
        <v>67.263238611406834</v>
      </c>
      <c r="X31" s="101">
        <v>45.431569652669353</v>
      </c>
      <c r="Y31" s="76">
        <v>52</v>
      </c>
      <c r="Z31" s="49">
        <f t="shared" si="22"/>
        <v>1</v>
      </c>
      <c r="AA31" s="49">
        <f t="shared" si="2"/>
        <v>1</v>
      </c>
      <c r="AB31" s="75" t="b">
        <v>0</v>
      </c>
      <c r="AC31" s="5" t="b">
        <f t="shared" si="3"/>
        <v>0</v>
      </c>
      <c r="AD31" s="27" t="str">
        <f t="shared" si="4"/>
        <v>MTS</v>
      </c>
      <c r="AE31" s="4">
        <f t="shared" si="5"/>
        <v>194</v>
      </c>
      <c r="AF31" s="32">
        <f t="shared" si="6"/>
        <v>487</v>
      </c>
      <c r="AG31" s="32">
        <f t="shared" si="7"/>
        <v>646</v>
      </c>
      <c r="AH31" s="4">
        <f t="shared" si="8"/>
        <v>7.1821117203144871</v>
      </c>
      <c r="AI31" s="4">
        <f t="shared" si="9"/>
        <v>437.5</v>
      </c>
      <c r="AJ31" s="33">
        <f t="shared" si="10"/>
        <v>1309.7570521420475</v>
      </c>
      <c r="AK31" s="39">
        <f t="shared" si="11"/>
        <v>13</v>
      </c>
      <c r="AL31" s="31">
        <f t="shared" si="12"/>
        <v>5.8178882796855129</v>
      </c>
      <c r="AM31" s="34">
        <f t="shared" si="13"/>
        <v>-720.27406692361217</v>
      </c>
      <c r="AN31" s="45">
        <f t="shared" si="14"/>
        <v>2546.3940331461158</v>
      </c>
      <c r="AO31" s="45">
        <f t="shared" si="15"/>
        <v>279.53208175012674</v>
      </c>
      <c r="AP31" s="45">
        <f t="shared" si="23"/>
        <v>82.982764376341791</v>
      </c>
      <c r="AQ31" s="45">
        <f t="shared" si="24"/>
        <v>30.685818341719251</v>
      </c>
      <c r="AR31" s="46">
        <f t="shared" si="16"/>
        <v>1133</v>
      </c>
      <c r="AS31" s="47">
        <f t="shared" si="17"/>
        <v>5.1112159236192911E-11</v>
      </c>
      <c r="AT31" s="48">
        <f t="shared" si="18"/>
        <v>1.1932530187750022E-9</v>
      </c>
      <c r="AU31" s="52">
        <f t="shared" si="19"/>
        <v>9.3156731462002642E-8</v>
      </c>
      <c r="AV31" s="3" t="str">
        <f t="shared" si="20"/>
        <v>MTS</v>
      </c>
      <c r="AW31" s="6" t="str">
        <f t="shared" si="25"/>
        <v xml:space="preserve">Seek to negotiate longer order lead-time so item can be MTO. </v>
      </c>
    </row>
    <row r="32" spans="1:49" ht="30" x14ac:dyDescent="0.25">
      <c r="A32" s="74" t="s">
        <v>107</v>
      </c>
      <c r="B32" s="75" t="s">
        <v>126</v>
      </c>
      <c r="C32" s="74" t="s">
        <v>98</v>
      </c>
      <c r="D32" s="74" t="s">
        <v>65</v>
      </c>
      <c r="E32" s="76" t="s">
        <v>58</v>
      </c>
      <c r="F32" s="77">
        <v>1</v>
      </c>
      <c r="G32" s="78">
        <v>188</v>
      </c>
      <c r="H32" s="79">
        <v>12.17</v>
      </c>
      <c r="I32" s="80">
        <v>101.32250000000001</v>
      </c>
      <c r="J32" s="81">
        <v>0.17219062424242426</v>
      </c>
      <c r="K32" s="82">
        <v>5.6104980324711105E-8</v>
      </c>
      <c r="L32" s="83">
        <v>8.5000000000000006E-2</v>
      </c>
      <c r="M32" s="37">
        <f t="shared" si="0"/>
        <v>5.9632781587112368E-2</v>
      </c>
      <c r="N32" s="36">
        <f t="shared" si="1"/>
        <v>0.25479906676498298</v>
      </c>
      <c r="O32" s="76">
        <v>18</v>
      </c>
      <c r="P32" s="76">
        <v>28</v>
      </c>
      <c r="Q32" s="76">
        <v>5</v>
      </c>
      <c r="R32" s="12">
        <f t="shared" si="27"/>
        <v>51</v>
      </c>
      <c r="S32" s="99">
        <v>0.66</v>
      </c>
      <c r="T32" s="82">
        <v>0.95</v>
      </c>
      <c r="U32" s="82">
        <v>0.97499999999999998</v>
      </c>
      <c r="V32" s="99">
        <v>28</v>
      </c>
      <c r="W32" s="100">
        <v>37.223707034536154</v>
      </c>
      <c r="X32" s="101">
        <v>21.673975620742251</v>
      </c>
      <c r="Y32" s="76">
        <v>52</v>
      </c>
      <c r="Z32" s="49">
        <f t="shared" si="22"/>
        <v>1</v>
      </c>
      <c r="AA32" s="49">
        <f t="shared" si="2"/>
        <v>1</v>
      </c>
      <c r="AB32" s="75" t="b">
        <v>0</v>
      </c>
      <c r="AC32" s="5" t="b">
        <f t="shared" si="3"/>
        <v>0</v>
      </c>
      <c r="AD32" s="27" t="str">
        <f t="shared" si="4"/>
        <v>MTS</v>
      </c>
      <c r="AE32" s="4">
        <f t="shared" si="5"/>
        <v>104</v>
      </c>
      <c r="AF32" s="32">
        <f t="shared" si="6"/>
        <v>356</v>
      </c>
      <c r="AG32" s="32">
        <f t="shared" si="7"/>
        <v>375</v>
      </c>
      <c r="AH32" s="4">
        <f t="shared" si="8"/>
        <v>5.4371706904378652</v>
      </c>
      <c r="AI32" s="4">
        <f t="shared" si="9"/>
        <v>282</v>
      </c>
      <c r="AJ32" s="33">
        <f t="shared" si="10"/>
        <v>874.45510919341575</v>
      </c>
      <c r="AK32" s="39">
        <f t="shared" si="11"/>
        <v>13</v>
      </c>
      <c r="AL32" s="31">
        <f t="shared" si="12"/>
        <v>7.5628293095621348</v>
      </c>
      <c r="AM32" s="34">
        <f t="shared" si="13"/>
        <v>-108.17033647530627</v>
      </c>
      <c r="AN32" s="45">
        <f t="shared" si="14"/>
        <v>1270.9237116077345</v>
      </c>
      <c r="AO32" s="45">
        <f t="shared" si="15"/>
        <v>126.64513491915598</v>
      </c>
      <c r="AP32" s="45">
        <f t="shared" si="23"/>
        <v>100.70752963354164</v>
      </c>
      <c r="AQ32" s="45">
        <f t="shared" si="24"/>
        <v>12.61994724954946</v>
      </c>
      <c r="AR32" s="46">
        <f t="shared" si="16"/>
        <v>731</v>
      </c>
      <c r="AS32" s="47">
        <f t="shared" si="17"/>
        <v>2.2318957789087503E-7</v>
      </c>
      <c r="AT32" s="48">
        <f t="shared" si="18"/>
        <v>3.5325893001050986E-6</v>
      </c>
      <c r="AU32" s="52">
        <f t="shared" si="19"/>
        <v>2.3375273151729083E-4</v>
      </c>
      <c r="AV32" s="3" t="str">
        <f t="shared" si="20"/>
        <v>MTS</v>
      </c>
      <c r="AW32" s="6" t="str">
        <f t="shared" si="25"/>
        <v xml:space="preserve">Seek to negotiate longer order lead-time so item can be MTO. </v>
      </c>
    </row>
    <row r="33" spans="1:49" ht="30" x14ac:dyDescent="0.25">
      <c r="A33" s="74" t="s">
        <v>108</v>
      </c>
      <c r="B33" s="75" t="s">
        <v>127</v>
      </c>
      <c r="C33" s="74" t="s">
        <v>98</v>
      </c>
      <c r="D33" s="74" t="s">
        <v>65</v>
      </c>
      <c r="E33" s="76" t="s">
        <v>58</v>
      </c>
      <c r="F33" s="77">
        <v>1</v>
      </c>
      <c r="G33" s="78">
        <v>196</v>
      </c>
      <c r="H33" s="79">
        <v>11.91</v>
      </c>
      <c r="I33" s="80">
        <v>101.32250000000001</v>
      </c>
      <c r="J33" s="81">
        <v>0.17219062424242426</v>
      </c>
      <c r="K33" s="82">
        <v>3.0000000000000001E-3</v>
      </c>
      <c r="L33" s="83">
        <v>8.5000000000000006E-2</v>
      </c>
      <c r="M33" s="37">
        <f t="shared" si="0"/>
        <v>6.7453642930844063E-2</v>
      </c>
      <c r="N33" s="36">
        <f t="shared" si="1"/>
        <v>0.29450792883324023</v>
      </c>
      <c r="O33" s="76">
        <v>18</v>
      </c>
      <c r="P33" s="76">
        <v>28</v>
      </c>
      <c r="Q33" s="76">
        <v>1</v>
      </c>
      <c r="R33" s="12">
        <f t="shared" si="27"/>
        <v>47</v>
      </c>
      <c r="S33" s="99">
        <v>0</v>
      </c>
      <c r="T33" s="82">
        <v>0.95</v>
      </c>
      <c r="U33" s="82">
        <v>0.97499999999999998</v>
      </c>
      <c r="V33" s="99">
        <v>28</v>
      </c>
      <c r="W33" s="100">
        <v>35.587352873297945</v>
      </c>
      <c r="X33" s="101">
        <v>45.139474087902038</v>
      </c>
      <c r="Y33" s="76">
        <v>52</v>
      </c>
      <c r="Z33" s="49">
        <f t="shared" si="22"/>
        <v>1</v>
      </c>
      <c r="AA33" s="49">
        <f t="shared" si="2"/>
        <v>1</v>
      </c>
      <c r="AB33" s="75" t="b">
        <v>0</v>
      </c>
      <c r="AC33" s="5" t="b">
        <f t="shared" si="3"/>
        <v>0</v>
      </c>
      <c r="AD33" s="27" t="str">
        <f t="shared" si="4"/>
        <v>MTS</v>
      </c>
      <c r="AE33" s="4">
        <f t="shared" si="5"/>
        <v>192</v>
      </c>
      <c r="AF33" s="32">
        <f t="shared" si="6"/>
        <v>327</v>
      </c>
      <c r="AG33" s="32">
        <f t="shared" si="7"/>
        <v>431</v>
      </c>
      <c r="AH33" s="4">
        <f t="shared" si="8"/>
        <v>5.6591509156314777</v>
      </c>
      <c r="AI33" s="4">
        <f t="shared" si="9"/>
        <v>355.5</v>
      </c>
      <c r="AJ33" s="33">
        <f t="shared" si="10"/>
        <v>1246.9480432195835</v>
      </c>
      <c r="AK33" s="39">
        <f t="shared" si="11"/>
        <v>13</v>
      </c>
      <c r="AL33" s="31">
        <f t="shared" si="12"/>
        <v>7.3408490843685223</v>
      </c>
      <c r="AM33" s="34">
        <f t="shared" si="13"/>
        <v>-503.15486186865382</v>
      </c>
      <c r="AN33" s="45">
        <f t="shared" si="14"/>
        <v>1235.3895354587714</v>
      </c>
      <c r="AO33" s="45">
        <f t="shared" si="15"/>
        <v>265.95650164925422</v>
      </c>
      <c r="AP33" s="45">
        <f t="shared" si="23"/>
        <v>21.576778992359376</v>
      </c>
      <c r="AQ33" s="45">
        <f t="shared" si="24"/>
        <v>57.255512321660213</v>
      </c>
      <c r="AR33" s="46">
        <f t="shared" si="16"/>
        <v>758</v>
      </c>
      <c r="AS33" s="47">
        <f t="shared" si="17"/>
        <v>2.1492812962111953E-2</v>
      </c>
      <c r="AT33" s="48">
        <f t="shared" si="18"/>
        <v>1.4333251878474549</v>
      </c>
      <c r="AU33" s="52">
        <f t="shared" si="19"/>
        <v>96.606816271026602</v>
      </c>
      <c r="AV33" s="3" t="str">
        <f t="shared" si="20"/>
        <v>MTS</v>
      </c>
      <c r="AW33" s="6" t="str">
        <f t="shared" si="25"/>
        <v xml:space="preserve">Seek to negotiate longer order lead-time so item can be MTO. </v>
      </c>
    </row>
    <row r="35" spans="1:49" ht="18.75" x14ac:dyDescent="0.25">
      <c r="A35" s="120" t="s">
        <v>255</v>
      </c>
      <c r="M35" s="37"/>
      <c r="N35" s="36"/>
      <c r="AC35" s="5"/>
      <c r="AE35" s="4"/>
      <c r="AF35" s="32"/>
      <c r="AG35" s="32"/>
      <c r="AH35" s="4"/>
      <c r="AI35" s="4"/>
      <c r="AJ35" s="33"/>
      <c r="AK35" s="39"/>
      <c r="AL35" s="31"/>
      <c r="AM35" s="34"/>
      <c r="AN35" s="45"/>
      <c r="AO35" s="45"/>
      <c r="AP35" s="45"/>
      <c r="AQ35" s="45"/>
      <c r="AR35" s="46"/>
      <c r="AS35" s="47"/>
      <c r="AT35" s="48"/>
    </row>
  </sheetData>
  <sheetProtection formatCells="0" formatColumns="0" formatRows="0" insertRows="0" deleteRows="0" sort="0" autoFilter="0" pivotTables="0"/>
  <autoFilter ref="A2:AW33" xr:uid="{CD5EBA2A-50A6-4586-806D-6E42CF4B866D}"/>
  <phoneticPr fontId="5"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55CF-150B-44AC-94A7-C08E82E91A50}">
  <dimension ref="A1:D55"/>
  <sheetViews>
    <sheetView showGridLines="0" workbookViewId="0">
      <pane xSplit="2" ySplit="1" topLeftCell="C2" activePane="bottomRight" state="frozen"/>
      <selection pane="topRight" activeCell="D1" sqref="D1"/>
      <selection pane="bottomLeft" activeCell="A2" sqref="A2"/>
      <selection pane="bottomRight" activeCell="C2" sqref="C2"/>
    </sheetView>
  </sheetViews>
  <sheetFormatPr defaultRowHeight="15" x14ac:dyDescent="0.25"/>
  <cols>
    <col min="2" max="2" width="54.85546875" bestFit="1" customWidth="1"/>
    <col min="3" max="3" width="18.5703125" style="107" bestFit="1" customWidth="1"/>
    <col min="4" max="4" width="61.42578125" style="107" bestFit="1" customWidth="1"/>
  </cols>
  <sheetData>
    <row r="1" spans="1:4" x14ac:dyDescent="0.25">
      <c r="A1" s="104" t="s">
        <v>138</v>
      </c>
      <c r="B1" s="104" t="s">
        <v>139</v>
      </c>
      <c r="C1" s="105" t="s">
        <v>191</v>
      </c>
      <c r="D1" s="105" t="s">
        <v>140</v>
      </c>
    </row>
    <row r="2" spans="1:4" x14ac:dyDescent="0.25">
      <c r="A2" t="s">
        <v>141</v>
      </c>
      <c r="B2" t="s">
        <v>0</v>
      </c>
      <c r="C2" s="106" t="s">
        <v>199</v>
      </c>
      <c r="D2" s="107" t="s">
        <v>192</v>
      </c>
    </row>
    <row r="3" spans="1:4" x14ac:dyDescent="0.25">
      <c r="A3" t="s">
        <v>142</v>
      </c>
      <c r="B3" t="s">
        <v>1</v>
      </c>
      <c r="C3" s="106" t="s">
        <v>199</v>
      </c>
      <c r="D3" s="107" t="s">
        <v>193</v>
      </c>
    </row>
    <row r="4" spans="1:4" x14ac:dyDescent="0.25">
      <c r="A4" t="s">
        <v>143</v>
      </c>
      <c r="B4" t="s">
        <v>9</v>
      </c>
      <c r="C4" s="106" t="s">
        <v>199</v>
      </c>
      <c r="D4" s="107" t="s">
        <v>194</v>
      </c>
    </row>
    <row r="5" spans="1:4" x14ac:dyDescent="0.25">
      <c r="A5" t="s">
        <v>144</v>
      </c>
      <c r="B5" t="s">
        <v>15</v>
      </c>
      <c r="C5" s="106" t="s">
        <v>199</v>
      </c>
      <c r="D5" s="107" t="s">
        <v>195</v>
      </c>
    </row>
    <row r="6" spans="1:4" x14ac:dyDescent="0.25">
      <c r="A6" t="s">
        <v>145</v>
      </c>
      <c r="B6" t="s">
        <v>36</v>
      </c>
      <c r="C6" s="106" t="s">
        <v>199</v>
      </c>
      <c r="D6" s="107" t="s">
        <v>196</v>
      </c>
    </row>
    <row r="7" spans="1:4" x14ac:dyDescent="0.25">
      <c r="A7" t="s">
        <v>146</v>
      </c>
      <c r="B7" t="s">
        <v>32</v>
      </c>
      <c r="C7" s="77" t="s">
        <v>199</v>
      </c>
      <c r="D7" s="107" t="s">
        <v>197</v>
      </c>
    </row>
    <row r="8" spans="1:4" x14ac:dyDescent="0.25">
      <c r="A8" t="s">
        <v>147</v>
      </c>
      <c r="B8" t="s">
        <v>54</v>
      </c>
      <c r="C8" s="108" t="s">
        <v>199</v>
      </c>
      <c r="D8" s="107" t="s">
        <v>198</v>
      </c>
    </row>
    <row r="9" spans="1:4" x14ac:dyDescent="0.25">
      <c r="A9" t="s">
        <v>148</v>
      </c>
      <c r="B9" t="s">
        <v>59</v>
      </c>
      <c r="C9" s="106" t="s">
        <v>199</v>
      </c>
      <c r="D9" s="109" t="s">
        <v>224</v>
      </c>
    </row>
    <row r="10" spans="1:4" x14ac:dyDescent="0.25">
      <c r="A10" t="s">
        <v>149</v>
      </c>
      <c r="B10" t="s">
        <v>190</v>
      </c>
      <c r="C10" s="106" t="s">
        <v>199</v>
      </c>
      <c r="D10" s="109" t="s">
        <v>230</v>
      </c>
    </row>
    <row r="11" spans="1:4" x14ac:dyDescent="0.25">
      <c r="A11" t="s">
        <v>150</v>
      </c>
      <c r="B11" t="s">
        <v>55</v>
      </c>
      <c r="C11" s="106" t="s">
        <v>199</v>
      </c>
      <c r="D11" s="109" t="s">
        <v>231</v>
      </c>
    </row>
    <row r="12" spans="1:4" x14ac:dyDescent="0.25">
      <c r="A12" t="s">
        <v>151</v>
      </c>
      <c r="B12" t="s">
        <v>50</v>
      </c>
      <c r="C12" s="106" t="s">
        <v>199</v>
      </c>
      <c r="D12" s="107" t="s">
        <v>232</v>
      </c>
    </row>
    <row r="13" spans="1:4" x14ac:dyDescent="0.25">
      <c r="A13" t="s">
        <v>152</v>
      </c>
      <c r="B13" t="s">
        <v>53</v>
      </c>
      <c r="C13" s="106" t="s">
        <v>199</v>
      </c>
      <c r="D13" s="109" t="s">
        <v>233</v>
      </c>
    </row>
    <row r="14" spans="1:4" x14ac:dyDescent="0.25">
      <c r="A14" t="s">
        <v>153</v>
      </c>
      <c r="B14" t="s">
        <v>56</v>
      </c>
      <c r="C14" s="37" t="s">
        <v>200</v>
      </c>
      <c r="D14" s="107" t="s">
        <v>201</v>
      </c>
    </row>
    <row r="15" spans="1:4" x14ac:dyDescent="0.25">
      <c r="A15" t="s">
        <v>154</v>
      </c>
      <c r="B15" t="s">
        <v>63</v>
      </c>
      <c r="C15" s="37" t="s">
        <v>200</v>
      </c>
      <c r="D15" s="107" t="s">
        <v>202</v>
      </c>
    </row>
    <row r="16" spans="1:4" x14ac:dyDescent="0.25">
      <c r="A16" t="s">
        <v>155</v>
      </c>
      <c r="B16" t="s">
        <v>40</v>
      </c>
      <c r="C16" s="106" t="s">
        <v>199</v>
      </c>
      <c r="D16" s="109" t="s">
        <v>234</v>
      </c>
    </row>
    <row r="17" spans="1:4" x14ac:dyDescent="0.25">
      <c r="A17" t="s">
        <v>156</v>
      </c>
      <c r="B17" t="s">
        <v>39</v>
      </c>
      <c r="C17" s="106" t="s">
        <v>199</v>
      </c>
      <c r="D17" s="109" t="s">
        <v>235</v>
      </c>
    </row>
    <row r="18" spans="1:4" x14ac:dyDescent="0.25">
      <c r="A18" t="s">
        <v>157</v>
      </c>
      <c r="B18" t="s">
        <v>38</v>
      </c>
      <c r="C18" s="106" t="s">
        <v>199</v>
      </c>
      <c r="D18" s="109" t="s">
        <v>236</v>
      </c>
    </row>
    <row r="19" spans="1:4" x14ac:dyDescent="0.25">
      <c r="A19" t="s">
        <v>158</v>
      </c>
      <c r="B19" t="s">
        <v>37</v>
      </c>
      <c r="C19" s="37" t="s">
        <v>200</v>
      </c>
      <c r="D19" s="107" t="s">
        <v>203</v>
      </c>
    </row>
    <row r="20" spans="1:4" x14ac:dyDescent="0.25">
      <c r="A20" t="s">
        <v>159</v>
      </c>
      <c r="B20" t="s">
        <v>41</v>
      </c>
      <c r="C20" s="106" t="s">
        <v>199</v>
      </c>
      <c r="D20" s="109" t="s">
        <v>237</v>
      </c>
    </row>
    <row r="21" spans="1:4" x14ac:dyDescent="0.25">
      <c r="A21" t="s">
        <v>160</v>
      </c>
      <c r="B21" t="s">
        <v>42</v>
      </c>
      <c r="C21" s="106" t="s">
        <v>199</v>
      </c>
      <c r="D21" s="109" t="s">
        <v>238</v>
      </c>
    </row>
    <row r="22" spans="1:4" x14ac:dyDescent="0.25">
      <c r="A22" t="s">
        <v>161</v>
      </c>
      <c r="B22" t="s">
        <v>43</v>
      </c>
      <c r="C22" s="106" t="s">
        <v>199</v>
      </c>
      <c r="D22" s="109" t="s">
        <v>239</v>
      </c>
    </row>
    <row r="23" spans="1:4" x14ac:dyDescent="0.25">
      <c r="A23" t="s">
        <v>162</v>
      </c>
      <c r="B23" t="s">
        <v>33</v>
      </c>
      <c r="C23" s="106" t="s">
        <v>199</v>
      </c>
      <c r="D23" s="109" t="s">
        <v>240</v>
      </c>
    </row>
    <row r="24" spans="1:4" x14ac:dyDescent="0.25">
      <c r="A24" t="s">
        <v>163</v>
      </c>
      <c r="B24" t="s">
        <v>34</v>
      </c>
      <c r="C24" s="106" t="s">
        <v>199</v>
      </c>
      <c r="D24" s="109" t="s">
        <v>241</v>
      </c>
    </row>
    <row r="25" spans="1:4" x14ac:dyDescent="0.25">
      <c r="A25" t="s">
        <v>164</v>
      </c>
      <c r="B25" t="s">
        <v>35</v>
      </c>
      <c r="C25" s="106" t="s">
        <v>199</v>
      </c>
      <c r="D25" s="109" t="s">
        <v>242</v>
      </c>
    </row>
    <row r="26" spans="1:4" x14ac:dyDescent="0.25">
      <c r="A26" t="s">
        <v>165</v>
      </c>
      <c r="B26" t="s">
        <v>61</v>
      </c>
      <c r="C26" s="106" t="s">
        <v>199</v>
      </c>
      <c r="D26" s="107" t="s">
        <v>225</v>
      </c>
    </row>
    <row r="27" spans="1:4" x14ac:dyDescent="0.25">
      <c r="A27" t="s">
        <v>166</v>
      </c>
      <c r="B27" t="s">
        <v>62</v>
      </c>
      <c r="C27" s="37" t="s">
        <v>200</v>
      </c>
      <c r="D27" s="107" t="s">
        <v>204</v>
      </c>
    </row>
    <row r="28" spans="1:4" x14ac:dyDescent="0.25">
      <c r="A28" t="s">
        <v>167</v>
      </c>
      <c r="B28" t="s">
        <v>64</v>
      </c>
      <c r="C28" s="37" t="s">
        <v>200</v>
      </c>
      <c r="D28" s="107" t="s">
        <v>205</v>
      </c>
    </row>
    <row r="29" spans="1:4" x14ac:dyDescent="0.25">
      <c r="A29" t="s">
        <v>168</v>
      </c>
      <c r="B29" t="s">
        <v>2</v>
      </c>
      <c r="C29" s="106" t="s">
        <v>199</v>
      </c>
      <c r="D29" s="109" t="s">
        <v>226</v>
      </c>
    </row>
    <row r="30" spans="1:4" x14ac:dyDescent="0.25">
      <c r="A30" t="s">
        <v>169</v>
      </c>
      <c r="B30" t="s">
        <v>3</v>
      </c>
      <c r="C30" s="37" t="s">
        <v>200</v>
      </c>
      <c r="D30" s="107" t="s">
        <v>227</v>
      </c>
    </row>
    <row r="31" spans="1:4" x14ac:dyDescent="0.25">
      <c r="A31" t="s">
        <v>170</v>
      </c>
      <c r="B31" t="s">
        <v>66</v>
      </c>
      <c r="C31" s="37" t="s">
        <v>200</v>
      </c>
      <c r="D31" s="107" t="s">
        <v>228</v>
      </c>
    </row>
    <row r="32" spans="1:4" x14ac:dyDescent="0.25">
      <c r="A32" t="s">
        <v>171</v>
      </c>
      <c r="B32" t="s">
        <v>44</v>
      </c>
      <c r="C32" s="37" t="s">
        <v>200</v>
      </c>
      <c r="D32" s="107" t="s">
        <v>206</v>
      </c>
    </row>
    <row r="33" spans="1:4" x14ac:dyDescent="0.25">
      <c r="A33" t="s">
        <v>172</v>
      </c>
      <c r="B33" t="s">
        <v>28</v>
      </c>
      <c r="C33" s="37" t="s">
        <v>200</v>
      </c>
      <c r="D33" s="107" t="s">
        <v>229</v>
      </c>
    </row>
    <row r="34" spans="1:4" x14ac:dyDescent="0.25">
      <c r="A34" t="s">
        <v>173</v>
      </c>
      <c r="B34" t="s">
        <v>70</v>
      </c>
      <c r="C34" s="37" t="s">
        <v>200</v>
      </c>
      <c r="D34" s="107" t="s">
        <v>207</v>
      </c>
    </row>
    <row r="35" spans="1:4" x14ac:dyDescent="0.25">
      <c r="A35" t="s">
        <v>174</v>
      </c>
      <c r="B35" t="s">
        <v>68</v>
      </c>
      <c r="C35" s="37" t="s">
        <v>200</v>
      </c>
      <c r="D35" s="107" t="s">
        <v>208</v>
      </c>
    </row>
    <row r="36" spans="1:4" x14ac:dyDescent="0.25">
      <c r="A36" t="s">
        <v>175</v>
      </c>
      <c r="B36" t="s">
        <v>57</v>
      </c>
      <c r="C36" s="37" t="s">
        <v>200</v>
      </c>
      <c r="D36" s="107" t="s">
        <v>209</v>
      </c>
    </row>
    <row r="37" spans="1:4" x14ac:dyDescent="0.25">
      <c r="A37" t="s">
        <v>176</v>
      </c>
      <c r="B37" t="s">
        <v>29</v>
      </c>
      <c r="C37" s="37" t="s">
        <v>200</v>
      </c>
      <c r="D37" s="107" t="s">
        <v>210</v>
      </c>
    </row>
    <row r="38" spans="1:4" x14ac:dyDescent="0.25">
      <c r="A38" t="s">
        <v>177</v>
      </c>
      <c r="B38" t="s">
        <v>60</v>
      </c>
      <c r="C38" s="37" t="s">
        <v>200</v>
      </c>
      <c r="D38" s="107" t="s">
        <v>211</v>
      </c>
    </row>
    <row r="39" spans="1:4" x14ac:dyDescent="0.25">
      <c r="A39" t="s">
        <v>178</v>
      </c>
      <c r="B39" t="s">
        <v>30</v>
      </c>
      <c r="C39" s="37" t="s">
        <v>200</v>
      </c>
      <c r="D39" s="107" t="s">
        <v>212</v>
      </c>
    </row>
    <row r="40" spans="1:4" x14ac:dyDescent="0.25">
      <c r="A40" t="s">
        <v>179</v>
      </c>
      <c r="B40" t="s">
        <v>67</v>
      </c>
      <c r="C40" s="37" t="s">
        <v>200</v>
      </c>
      <c r="D40" s="107" t="s">
        <v>213</v>
      </c>
    </row>
    <row r="41" spans="1:4" x14ac:dyDescent="0.25">
      <c r="A41" t="s">
        <v>180</v>
      </c>
      <c r="B41" t="s">
        <v>74</v>
      </c>
      <c r="C41" s="37" t="s">
        <v>200</v>
      </c>
      <c r="D41" s="107" t="s">
        <v>214</v>
      </c>
    </row>
    <row r="42" spans="1:4" x14ac:dyDescent="0.25">
      <c r="A42" t="s">
        <v>181</v>
      </c>
      <c r="B42" t="s">
        <v>75</v>
      </c>
      <c r="C42" s="37" t="s">
        <v>200</v>
      </c>
      <c r="D42" s="107" t="s">
        <v>215</v>
      </c>
    </row>
    <row r="43" spans="1:4" x14ac:dyDescent="0.25">
      <c r="A43" t="s">
        <v>182</v>
      </c>
      <c r="B43" t="s">
        <v>72</v>
      </c>
      <c r="C43" s="37" t="s">
        <v>200</v>
      </c>
      <c r="D43" s="107" t="s">
        <v>216</v>
      </c>
    </row>
    <row r="44" spans="1:4" x14ac:dyDescent="0.25">
      <c r="A44" t="s">
        <v>183</v>
      </c>
      <c r="B44" t="s">
        <v>73</v>
      </c>
      <c r="C44" s="37" t="s">
        <v>200</v>
      </c>
      <c r="D44" s="107" t="s">
        <v>217</v>
      </c>
    </row>
    <row r="45" spans="1:4" x14ac:dyDescent="0.25">
      <c r="A45" t="s">
        <v>184</v>
      </c>
      <c r="B45" t="s">
        <v>71</v>
      </c>
      <c r="C45" s="37" t="s">
        <v>200</v>
      </c>
      <c r="D45" s="107" t="s">
        <v>218</v>
      </c>
    </row>
    <row r="46" spans="1:4" x14ac:dyDescent="0.25">
      <c r="A46" t="s">
        <v>185</v>
      </c>
      <c r="B46" t="s">
        <v>76</v>
      </c>
      <c r="C46" s="37" t="s">
        <v>200</v>
      </c>
      <c r="D46" s="107" t="s">
        <v>219</v>
      </c>
    </row>
    <row r="47" spans="1:4" x14ac:dyDescent="0.25">
      <c r="A47" t="s">
        <v>186</v>
      </c>
      <c r="B47" t="s">
        <v>77</v>
      </c>
      <c r="C47" s="37" t="s">
        <v>200</v>
      </c>
      <c r="D47" s="107" t="s">
        <v>220</v>
      </c>
    </row>
    <row r="48" spans="1:4" x14ac:dyDescent="0.25">
      <c r="A48" t="s">
        <v>187</v>
      </c>
      <c r="B48" t="s">
        <v>78</v>
      </c>
      <c r="C48" s="37" t="s">
        <v>200</v>
      </c>
      <c r="D48" s="107" t="s">
        <v>221</v>
      </c>
    </row>
    <row r="49" spans="1:4" x14ac:dyDescent="0.25">
      <c r="A49" t="s">
        <v>188</v>
      </c>
      <c r="B49" t="s">
        <v>52</v>
      </c>
      <c r="C49" s="37" t="s">
        <v>200</v>
      </c>
      <c r="D49" s="107" t="s">
        <v>222</v>
      </c>
    </row>
    <row r="50" spans="1:4" x14ac:dyDescent="0.25">
      <c r="A50" t="s">
        <v>189</v>
      </c>
      <c r="B50" t="s">
        <v>26</v>
      </c>
      <c r="C50" s="37" t="s">
        <v>200</v>
      </c>
      <c r="D50" s="107" t="s">
        <v>223</v>
      </c>
    </row>
    <row r="54" spans="1:4" ht="15" customHeight="1" x14ac:dyDescent="0.25">
      <c r="A54" s="121" t="s">
        <v>255</v>
      </c>
      <c r="B54" s="121"/>
      <c r="C54" s="121"/>
      <c r="D54" s="121"/>
    </row>
    <row r="55" spans="1:4" ht="15" customHeight="1" x14ac:dyDescent="0.25">
      <c r="A55" s="121"/>
      <c r="B55" s="121"/>
      <c r="C55" s="121"/>
      <c r="D55" s="121"/>
    </row>
  </sheetData>
  <autoFilter ref="A1:D50" xr:uid="{6559ECD1-EA37-46F5-8D43-5B9D2AFC0F96}"/>
  <mergeCells count="1">
    <mergeCell ref="A54:D5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D890-BC2C-4DBF-9279-BCA8C9F1EC16}">
  <dimension ref="A51:N52"/>
  <sheetViews>
    <sheetView showGridLines="0" workbookViewId="0"/>
  </sheetViews>
  <sheetFormatPr defaultRowHeight="15" x14ac:dyDescent="0.25"/>
  <sheetData>
    <row r="51" spans="1:14" ht="15" customHeight="1" x14ac:dyDescent="0.25">
      <c r="A51" s="119" t="s">
        <v>255</v>
      </c>
      <c r="B51" s="119"/>
      <c r="C51" s="119"/>
      <c r="D51" s="119"/>
      <c r="E51" s="119"/>
      <c r="F51" s="119"/>
      <c r="G51" s="119"/>
      <c r="H51" s="119"/>
      <c r="I51" s="119"/>
      <c r="J51" s="119"/>
      <c r="K51" s="119"/>
      <c r="L51" s="119"/>
      <c r="M51" s="119"/>
      <c r="N51" s="119"/>
    </row>
    <row r="52" spans="1:14" ht="15" customHeight="1" x14ac:dyDescent="0.25">
      <c r="A52" s="119"/>
      <c r="B52" s="119"/>
      <c r="C52" s="119"/>
      <c r="D52" s="119"/>
      <c r="E52" s="119"/>
      <c r="F52" s="119"/>
      <c r="G52" s="119"/>
      <c r="H52" s="119"/>
      <c r="I52" s="119"/>
      <c r="J52" s="119"/>
      <c r="K52" s="119"/>
      <c r="L52" s="119"/>
      <c r="M52" s="119"/>
      <c r="N52" s="11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A4495-0F92-483E-9D26-22DFECD76AE1}">
  <dimension ref="A1:D25"/>
  <sheetViews>
    <sheetView showGridLines="0" workbookViewId="0">
      <pane xSplit="2" ySplit="4" topLeftCell="C5" activePane="bottomRight" state="frozen"/>
      <selection pane="topRight" activeCell="C1" sqref="C1"/>
      <selection pane="bottomLeft" activeCell="A4" sqref="A4"/>
      <selection pane="bottomRight" activeCell="B10" sqref="B10"/>
    </sheetView>
  </sheetViews>
  <sheetFormatPr defaultRowHeight="15" x14ac:dyDescent="0.25"/>
  <cols>
    <col min="1" max="1" width="11.42578125" style="2" customWidth="1"/>
    <col min="2" max="2" width="30.140625" style="112" customWidth="1"/>
    <col min="3" max="3" width="80.42578125" style="2" customWidth="1"/>
    <col min="4" max="16384" width="9.140625" style="2"/>
  </cols>
  <sheetData>
    <row r="1" spans="1:4" ht="28.5" x14ac:dyDescent="0.25">
      <c r="C1" s="118" t="s">
        <v>251</v>
      </c>
    </row>
    <row r="3" spans="1:4" ht="23.25" customHeight="1" x14ac:dyDescent="0.25">
      <c r="C3" s="121" t="s">
        <v>255</v>
      </c>
    </row>
    <row r="4" spans="1:4" x14ac:dyDescent="0.25">
      <c r="C4" s="121"/>
    </row>
    <row r="6" spans="1:4" x14ac:dyDescent="0.25">
      <c r="A6" s="110" t="s">
        <v>243</v>
      </c>
    </row>
    <row r="7" spans="1:4" x14ac:dyDescent="0.25">
      <c r="A7" s="110"/>
    </row>
    <row r="8" spans="1:4" ht="60" x14ac:dyDescent="0.25">
      <c r="B8" s="116" t="s">
        <v>245</v>
      </c>
      <c r="C8" s="113" t="s">
        <v>244</v>
      </c>
      <c r="D8" s="113"/>
    </row>
    <row r="9" spans="1:4" x14ac:dyDescent="0.25">
      <c r="B9" s="117"/>
      <c r="C9" s="42"/>
      <c r="D9" s="42"/>
    </row>
    <row r="10" spans="1:4" ht="30" x14ac:dyDescent="0.25">
      <c r="B10" s="116" t="s">
        <v>250</v>
      </c>
      <c r="C10" s="42" t="s">
        <v>253</v>
      </c>
      <c r="D10" s="42"/>
    </row>
    <row r="11" spans="1:4" x14ac:dyDescent="0.25">
      <c r="B11" s="116"/>
      <c r="C11" s="42"/>
      <c r="D11" s="42"/>
    </row>
    <row r="12" spans="1:4" ht="45" x14ac:dyDescent="0.25">
      <c r="B12" s="111" t="s">
        <v>256</v>
      </c>
      <c r="C12" s="113" t="s">
        <v>257</v>
      </c>
      <c r="D12" s="42"/>
    </row>
    <row r="13" spans="1:4" x14ac:dyDescent="0.25">
      <c r="B13" s="117"/>
      <c r="C13" s="42"/>
      <c r="D13" s="42"/>
    </row>
    <row r="14" spans="1:4" ht="90" x14ac:dyDescent="0.25">
      <c r="B14" s="111" t="s">
        <v>254</v>
      </c>
      <c r="C14" s="113" t="s">
        <v>258</v>
      </c>
      <c r="D14" s="42"/>
    </row>
    <row r="15" spans="1:4" x14ac:dyDescent="0.25">
      <c r="B15" s="117"/>
      <c r="C15" s="42"/>
      <c r="D15" s="42"/>
    </row>
    <row r="16" spans="1:4" x14ac:dyDescent="0.25">
      <c r="B16" s="117"/>
      <c r="C16" s="42"/>
      <c r="D16" s="42"/>
    </row>
    <row r="17" spans="1:4" x14ac:dyDescent="0.25">
      <c r="B17" s="117"/>
      <c r="C17" s="42"/>
      <c r="D17" s="42"/>
    </row>
    <row r="18" spans="1:4" x14ac:dyDescent="0.25">
      <c r="A18" s="115" t="s">
        <v>252</v>
      </c>
      <c r="C18" s="42"/>
      <c r="D18" s="42"/>
    </row>
    <row r="19" spans="1:4" ht="15" customHeight="1" x14ac:dyDescent="0.25">
      <c r="B19" s="122" t="s">
        <v>246</v>
      </c>
      <c r="C19" s="122"/>
      <c r="D19" s="114"/>
    </row>
    <row r="20" spans="1:4" x14ac:dyDescent="0.25">
      <c r="C20" s="112"/>
      <c r="D20" s="112"/>
    </row>
    <row r="21" spans="1:4" ht="15" customHeight="1" x14ac:dyDescent="0.25">
      <c r="B21" s="123" t="s">
        <v>247</v>
      </c>
      <c r="C21" s="123"/>
      <c r="D21" s="114"/>
    </row>
    <row r="22" spans="1:4" x14ac:dyDescent="0.25">
      <c r="B22" s="2"/>
      <c r="D22" s="112"/>
    </row>
    <row r="23" spans="1:4" ht="15" customHeight="1" x14ac:dyDescent="0.25">
      <c r="B23" s="123" t="s">
        <v>248</v>
      </c>
      <c r="C23" s="123"/>
      <c r="D23" s="114"/>
    </row>
    <row r="24" spans="1:4" x14ac:dyDescent="0.25">
      <c r="C24" s="112"/>
      <c r="D24" s="112"/>
    </row>
    <row r="25" spans="1:4" ht="33.75" customHeight="1" x14ac:dyDescent="0.25">
      <c r="B25" s="122" t="s">
        <v>249</v>
      </c>
      <c r="C25" s="122"/>
      <c r="D25" s="114"/>
    </row>
  </sheetData>
  <mergeCells count="5">
    <mergeCell ref="C3:C4"/>
    <mergeCell ref="B19:C19"/>
    <mergeCell ref="B21:C21"/>
    <mergeCell ref="B23:C23"/>
    <mergeCell ref="B25:C25"/>
  </mergeCells>
  <hyperlinks>
    <hyperlink ref="B8" r:id="rId1" display="http://shivesupplychainsolutions.com/2020/09/02/make-to-order-or-make-to-stock/" xr:uid="{88712028-F829-45D1-81C5-3210345DB0D6}"/>
    <hyperlink ref="B19" r:id="rId2" display="https://www.amazon.com/Demand-Material-Requirements-Planning-Version/dp/0831136510" xr:uid="{B3C969C4-D2AC-4231-B13F-4F3255C5B685}"/>
    <hyperlink ref="B21" r:id="rId3" display="https://www.researchgate.net/publication/227447486_Make_to_Order_or_Make_to_Stock_Model_and_Application" xr:uid="{8AD6831B-4FD5-49C3-B898-A3D346819C07}"/>
    <hyperlink ref="B23" r:id="rId4" display="https://www.rug.nl/research/portal/files/9819437/thesis.pdf" xr:uid="{695D3665-D91B-459E-B668-A93F0037A114}"/>
    <hyperlink ref="B25" r:id="rId5" display="https://www.sciencedirect.com/science/article/abs/pii/S1474034607000729" xr:uid="{C860F341-5218-4F4F-8E42-DD45141BC611}"/>
    <hyperlink ref="B10" r:id="rId6" display="http://shivesupplychainsolutions.com/2020/10/31/make-to-order-or-make-to-stock-part-2/" xr:uid="{8915A775-FB6F-432B-A10A-D467F88A608B}"/>
    <hyperlink ref="B14" r:id="rId7" display="http://shivesupplychainsolutions.com/2020/06/14/economic-lot-sizing-with-variable-demand/" xr:uid="{3A014838-5494-4A58-953C-F5754FD499D8}"/>
    <hyperlink ref="B12" r:id="rId8" display="http://shivesupplychainsolutions.com/2020/04/25/how-much-is-enough-without-being-too-much/" xr:uid="{8634EC6D-9400-45B7-85AF-6097BFF25E43}"/>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MTO v MTS analysis</vt:lpstr>
      <vt:lpstr>Instructions</vt:lpstr>
      <vt:lpstr>Flowchart</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2020-08-28T22:52:30Z</dcterms:created>
  <dcterms:modified xsi:type="dcterms:W3CDTF">2020-11-15T03:05:22Z</dcterms:modified>
</cp:coreProperties>
</file>